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8940" windowHeight="4305" activeTab="0"/>
  </bookViews>
  <sheets>
    <sheet name="SIDERAR" sheetId="1" r:id="rId1"/>
    <sheet name="VENTAS" sheetId="2" r:id="rId2"/>
    <sheet name="EST PATRIM" sheetId="3" r:id="rId3"/>
    <sheet name="EST RESULT" sheetId="4" r:id="rId4"/>
    <sheet name="EST PATR REORD" sheetId="5" r:id="rId5"/>
    <sheet name="EST RESULT REORD" sheetId="6" r:id="rId6"/>
    <sheet name="RESUMEN EST CONT" sheetId="7" r:id="rId7"/>
    <sheet name="PARTE B - RESP" sheetId="8" r:id="rId8"/>
    <sheet name="MARGEN" sheetId="9" r:id="rId9"/>
    <sheet name="PARTE C - RESP" sheetId="10" r:id="rId10"/>
    <sheet name="EST PATRIM PORCENT" sheetId="11" r:id="rId11"/>
    <sheet name="PARTE D - RESP" sheetId="12" r:id="rId12"/>
    <sheet name="RENDIM OPERAT" sheetId="13" r:id="rId13"/>
    <sheet name="ROTACION" sheetId="14" r:id="rId14"/>
    <sheet name="COMP REND OPERAT" sheetId="15" r:id="rId15"/>
    <sheet name="PARTE E - RESP" sheetId="16" r:id="rId16"/>
    <sheet name="REND PATRIM" sheetId="17" r:id="rId17"/>
    <sheet name="C0MP REND PATR" sheetId="18" r:id="rId18"/>
    <sheet name="MODELO DUPONT" sheetId="19" r:id="rId19"/>
    <sheet name="PARTE F - RESP" sheetId="20" r:id="rId20"/>
    <sheet name="GASTOS" sheetId="21" r:id="rId21"/>
    <sheet name="COMP COSTOS" sheetId="22" r:id="rId22"/>
    <sheet name="MARG CONTRIB" sheetId="23" r:id="rId23"/>
    <sheet name="EFECTO PALANCA" sheetId="24" r:id="rId24"/>
    <sheet name="DISM VENTAS" sheetId="25" r:id="rId25"/>
    <sheet name="PARTE H - RESP" sheetId="26" r:id="rId26"/>
    <sheet name="FLUJO FONDOS" sheetId="27" r:id="rId27"/>
    <sheet name="PARTE I - RESP" sheetId="28" r:id="rId28"/>
    <sheet name="CREDITOS" sheetId="29" r:id="rId29"/>
    <sheet name="BS CAMBIO" sheetId="30" r:id="rId30"/>
    <sheet name="PLAZO CRED" sheetId="31" r:id="rId31"/>
    <sheet name="PLAZO BS CAMBIO" sheetId="32" r:id="rId32"/>
    <sheet name="PLAZO PAS OPERAT" sheetId="33" r:id="rId33"/>
    <sheet name="DURAC CICLO FINANC" sheetId="34" r:id="rId34"/>
    <sheet name="CAPITAL DE TRAB" sheetId="35" r:id="rId35"/>
  </sheets>
  <definedNames/>
  <calcPr fullCalcOnLoad="1"/>
</workbook>
</file>

<file path=xl/sharedStrings.xml><?xml version="1.0" encoding="utf-8"?>
<sst xmlns="http://schemas.openxmlformats.org/spreadsheetml/2006/main" count="591" uniqueCount="354">
  <si>
    <t>Manual de Estudio Programado</t>
  </si>
  <si>
    <t>ANALISIS FINANCIERO CON</t>
  </si>
  <si>
    <t>INFORMACION CONTABLE</t>
  </si>
  <si>
    <t>Carrera de Licenciado en Administración</t>
  </si>
  <si>
    <t>Facultad de Ciencias Económicas - U.N.Cuyo</t>
  </si>
  <si>
    <t>Ricardo A. Fornero</t>
  </si>
  <si>
    <t>AFIC - Ejercicio de Aplicación 1</t>
  </si>
  <si>
    <t>SIDERAR S.A.</t>
  </si>
  <si>
    <t>Total</t>
  </si>
  <si>
    <t>Exportaciones</t>
  </si>
  <si>
    <t>Mercado interno</t>
  </si>
  <si>
    <t>Ventas (millones de $)</t>
  </si>
  <si>
    <t>Ventas (miles de toneladas)</t>
  </si>
  <si>
    <t>VENTAS</t>
  </si>
  <si>
    <t>PATRIMONIO NETO</t>
  </si>
  <si>
    <t>Total Pasivo</t>
  </si>
  <si>
    <t>Total Pasivo no corriente</t>
  </si>
  <si>
    <t>Previsiones</t>
  </si>
  <si>
    <t>Préstamos</t>
  </si>
  <si>
    <t>Deudas por bienes de uso</t>
  </si>
  <si>
    <t>Total Pasivo corriente</t>
  </si>
  <si>
    <t>Otros pasivos</t>
  </si>
  <si>
    <t>Cargas fiscales</t>
  </si>
  <si>
    <t>Remunerac y Cargas Sociales</t>
  </si>
  <si>
    <t>Deudas Comerciales</t>
  </si>
  <si>
    <t>PASIVO</t>
  </si>
  <si>
    <t>Total Activo</t>
  </si>
  <si>
    <t>Total Activo no corriente</t>
  </si>
  <si>
    <t>Otros activos</t>
  </si>
  <si>
    <t>Bienes de uso</t>
  </si>
  <si>
    <t>Total Activo corriente</t>
  </si>
  <si>
    <t>Bienes de cambio</t>
  </si>
  <si>
    <t>Otros créditos</t>
  </si>
  <si>
    <t>Créditos por ventas</t>
  </si>
  <si>
    <t>Caja y bancos</t>
  </si>
  <si>
    <t>ACTIVO</t>
  </si>
  <si>
    <t>millones $</t>
  </si>
  <si>
    <t>ESTADO DE SITUACION PATRIMONIAL</t>
  </si>
  <si>
    <t>Intereses de préstamos</t>
  </si>
  <si>
    <t>Intereses de proveedores</t>
  </si>
  <si>
    <t>Intereses de créditos</t>
  </si>
  <si>
    <t>Resultados por tenencia bienes de cambio</t>
  </si>
  <si>
    <t>Resultados financieros y tenencia</t>
  </si>
  <si>
    <t>Tasa impuesto a ganancias</t>
  </si>
  <si>
    <t>Dividendos</t>
  </si>
  <si>
    <t>Ganancia ordinaria</t>
  </si>
  <si>
    <t>Impuesto a las ganancias</t>
  </si>
  <si>
    <t xml:space="preserve">   Generados por pasivos</t>
  </si>
  <si>
    <t xml:space="preserve">   Generados por activos</t>
  </si>
  <si>
    <t>Otros ingresos y egresos</t>
  </si>
  <si>
    <t>Gastos de administración</t>
  </si>
  <si>
    <t>Gastos de comercialización</t>
  </si>
  <si>
    <t>Ganancia bruta</t>
  </si>
  <si>
    <t>Costo de productos vendidos</t>
  </si>
  <si>
    <t>Ventas netas</t>
  </si>
  <si>
    <t>ESTADO DE RESULTADOS</t>
  </si>
  <si>
    <t>Total Pasivo financiero</t>
  </si>
  <si>
    <t>Préstamos permanentes</t>
  </si>
  <si>
    <t>Préstamos corrientes</t>
  </si>
  <si>
    <t>Total Pasivo operativo</t>
  </si>
  <si>
    <t>Total Pasivo no corriente operativo</t>
  </si>
  <si>
    <t>Total Pasivo corriente operativo</t>
  </si>
  <si>
    <t>Total Activo operativo</t>
  </si>
  <si>
    <t>Total Activo fijo operativo</t>
  </si>
  <si>
    <t>Total Activo corriente operativo</t>
  </si>
  <si>
    <t>ESTADO PATRIMONIAL REORDENADO</t>
  </si>
  <si>
    <t>Costo de pasivo financiero</t>
  </si>
  <si>
    <t>Resultados financieros préstamos</t>
  </si>
  <si>
    <t>Ganancia operativa después de impuesto</t>
  </si>
  <si>
    <t>Ganancia activo operativo neto antes de impuesto</t>
  </si>
  <si>
    <t>Resultados financieros proveedores</t>
  </si>
  <si>
    <t>Resultados financieros créditos</t>
  </si>
  <si>
    <t>Resultado tenencia bienes de cambio</t>
  </si>
  <si>
    <t>Impuesto a ganancias operativo</t>
  </si>
  <si>
    <t>Efecto impositivo intereses</t>
  </si>
  <si>
    <t>Impuesto a las ganancias total</t>
  </si>
  <si>
    <t>ESTADO DE RESULTADOS REORDENADO</t>
  </si>
  <si>
    <t>Ganancia operativa</t>
  </si>
  <si>
    <t>Patrimonio neto</t>
  </si>
  <si>
    <t>Pasivo financiero</t>
  </si>
  <si>
    <t>Activo operativo neto</t>
  </si>
  <si>
    <t>Pasivo relacionado con activo fijo</t>
  </si>
  <si>
    <t>Pasivo no corriente operativo</t>
  </si>
  <si>
    <t>Pasivo corriente operativo</t>
  </si>
  <si>
    <t>Activo fijo operativo</t>
  </si>
  <si>
    <t>Activo corriente operativo</t>
  </si>
  <si>
    <t>RESUMEN ESTADOS CONTABLES REORDENADOS</t>
  </si>
  <si>
    <t>Total Activo no corriente operativo</t>
  </si>
  <si>
    <t>ESTADO PATRIMONIAL EN PORCENTAJES</t>
  </si>
  <si>
    <t>Margen operativo</t>
  </si>
  <si>
    <t>por tonelada</t>
  </si>
  <si>
    <t>Totales</t>
  </si>
  <si>
    <t>Gastos comerciales y de administración</t>
  </si>
  <si>
    <t>Costo de productos por tonelada</t>
  </si>
  <si>
    <t>Precio por tonelada</t>
  </si>
  <si>
    <t>Ventas en toneladas</t>
  </si>
  <si>
    <t>Ventas en valores</t>
  </si>
  <si>
    <t>Variación ventas en toneladas</t>
  </si>
  <si>
    <t>Variación ventas en valores</t>
  </si>
  <si>
    <t>Indices</t>
  </si>
  <si>
    <t>Variación de valores totales y unitarios</t>
  </si>
  <si>
    <t>Gastos comerciales</t>
  </si>
  <si>
    <t>Costo de productos</t>
  </si>
  <si>
    <t>Precio promedio ponderado</t>
  </si>
  <si>
    <t>Precio promedio exportaciones</t>
  </si>
  <si>
    <t>Precio promedio mercado interno</t>
  </si>
  <si>
    <t>Valores por tonelada de ventas</t>
  </si>
  <si>
    <t>Otros resultados operativos</t>
  </si>
  <si>
    <t>% sobre ventas netas</t>
  </si>
  <si>
    <t>Margen operativo sobre ventas</t>
  </si>
  <si>
    <t>Margen bruto sobre ventas</t>
  </si>
  <si>
    <t>MARGEN SOBRE VENTAS</t>
  </si>
  <si>
    <t xml:space="preserve">   con saldo promedio</t>
  </si>
  <si>
    <t xml:space="preserve">   con saldo final</t>
  </si>
  <si>
    <t>Rendimiento operativo</t>
  </si>
  <si>
    <t>Activo operativo neto promedio</t>
  </si>
  <si>
    <t>RENDIMIENTO OPERATIVO</t>
  </si>
  <si>
    <t>Coef activación total</t>
  </si>
  <si>
    <t>Coef activación fijo</t>
  </si>
  <si>
    <t>Coef activación corr</t>
  </si>
  <si>
    <t>Con saldos promedio</t>
  </si>
  <si>
    <t>Coef activación corriente</t>
  </si>
  <si>
    <t>Con saldos finales</t>
  </si>
  <si>
    <t>Rotación Activo fijo</t>
  </si>
  <si>
    <t>Activo fijo operativo neto prom</t>
  </si>
  <si>
    <t>Activo fijo operativo neto</t>
  </si>
  <si>
    <t>Rotación ACON</t>
  </si>
  <si>
    <t>Activo corr operat neto prom</t>
  </si>
  <si>
    <t>Activo corriente operativo neto</t>
  </si>
  <si>
    <t>Pasivo operativo total</t>
  </si>
  <si>
    <t>Rotación operativa</t>
  </si>
  <si>
    <t>Ventas</t>
  </si>
  <si>
    <t>ROTACION OPERATIVA</t>
  </si>
  <si>
    <t>Rotación operativa con saldo promedio</t>
  </si>
  <si>
    <t>Rotación operativa con saldo final</t>
  </si>
  <si>
    <t>COMPONENTES DEL RENDIMIENTO OPERATIVO</t>
  </si>
  <si>
    <t>Costo % de pasivo financiero</t>
  </si>
  <si>
    <t xml:space="preserve">   con saldos promedio</t>
  </si>
  <si>
    <t xml:space="preserve">   con saldos finales</t>
  </si>
  <si>
    <t>Endeudamiento financiero</t>
  </si>
  <si>
    <t>Pasivo financiero promedio</t>
  </si>
  <si>
    <t>ENDEUDAMIENTO FINANCIERO Y SU COSTO</t>
  </si>
  <si>
    <t>Rendimiento del patrimonio</t>
  </si>
  <si>
    <t>Patrimonio neto promedio</t>
  </si>
  <si>
    <t>RENDIMIENTO PATRIMONIAL</t>
  </si>
  <si>
    <t>Efecto del endeudamiento</t>
  </si>
  <si>
    <t>Diferencia de rendimiento</t>
  </si>
  <si>
    <t>Rendimiento activo operativo</t>
  </si>
  <si>
    <t>CON SALDOS PROMEDIO</t>
  </si>
  <si>
    <t>Efecto del endeudamiento en el rendimiento</t>
  </si>
  <si>
    <t>CON SALDOS FINALES</t>
  </si>
  <si>
    <t>COMPONENTES DEL RENDIMIENTO PATRIMONIAL</t>
  </si>
  <si>
    <t>Coeficiente de cobertura</t>
  </si>
  <si>
    <t>COEFICIENTE DE COBERTURA DE INTERESES</t>
  </si>
  <si>
    <t xml:space="preserve">  3 x 4 = Expresión multiplicativa del efecto del endeudamiento en el rendimiento</t>
  </si>
  <si>
    <t xml:space="preserve">  1 x 2 x 3 x 4 = Rendimiento patrimonial considerando el costo del pasivo</t>
  </si>
  <si>
    <t xml:space="preserve">  1 x 2 x 3 = Rendimiento patrimonial si el pasivo financiero no tuviera costo</t>
  </si>
  <si>
    <t xml:space="preserve">  1 x 2 = Rendimiento operativo</t>
  </si>
  <si>
    <t>4. 1 - Intereses/Ganancia operativa</t>
  </si>
  <si>
    <t>3. 1 + Endeudamiento financiero</t>
  </si>
  <si>
    <t>2. Rotación operativa</t>
  </si>
  <si>
    <t>1. Margen operativo sobre ventas</t>
  </si>
  <si>
    <t>con saldos promedio</t>
  </si>
  <si>
    <t>COMPONENTES CON MODELO DUPONT</t>
  </si>
  <si>
    <t>Depreciaciones bs de uso</t>
  </si>
  <si>
    <t>Servicios y gastos varios</t>
  </si>
  <si>
    <t>Mantenimiento</t>
  </si>
  <si>
    <t>Personal</t>
  </si>
  <si>
    <t>Adminis-tración</t>
  </si>
  <si>
    <t>Comer-cializa-ción</t>
  </si>
  <si>
    <t>Produc-ción</t>
  </si>
  <si>
    <t>DETALLE DE GASTOS</t>
  </si>
  <si>
    <t>Total costos fijos</t>
  </si>
  <si>
    <t>Administración</t>
  </si>
  <si>
    <t>Comercialización</t>
  </si>
  <si>
    <t>Producción</t>
  </si>
  <si>
    <t>Costos fijos</t>
  </si>
  <si>
    <t>Total costos variables</t>
  </si>
  <si>
    <t xml:space="preserve">   Gastos de producción</t>
  </si>
  <si>
    <t xml:space="preserve">   Materias primas y materiales</t>
  </si>
  <si>
    <t>Costos variables</t>
  </si>
  <si>
    <t>% gastos de comercialización</t>
  </si>
  <si>
    <t>% costo de productos vendidos</t>
  </si>
  <si>
    <t>COMPOSICION DE COSTOS</t>
  </si>
  <si>
    <t>Costos fijos después de impuesto</t>
  </si>
  <si>
    <t>Margen de contribución desp de impuesto</t>
  </si>
  <si>
    <t>Tasa efectiva de impuesto</t>
  </si>
  <si>
    <t>Ganancia operativa antes de impuesto</t>
  </si>
  <si>
    <t>DISTRIBUCION DEL IMPUESTO</t>
  </si>
  <si>
    <t>Total Costos fijos</t>
  </si>
  <si>
    <t>Resultado de tenencia bienes de cambio</t>
  </si>
  <si>
    <t>Margen de contribución</t>
  </si>
  <si>
    <t>Resultados financieros operativos</t>
  </si>
  <si>
    <t>REFORMULACION DEL RESULTADO</t>
  </si>
  <si>
    <t>MARGEN DE CONTRIBUCION</t>
  </si>
  <si>
    <t>VF</t>
  </si>
  <si>
    <t>Rendimiento del activo</t>
  </si>
  <si>
    <t>VENTAJA FINANCIERA</t>
  </si>
  <si>
    <t>la ganancia ordinaria disminuye</t>
  </si>
  <si>
    <t>Si las ventas disminuyen</t>
  </si>
  <si>
    <t>EPT</t>
  </si>
  <si>
    <t>EFECTO PALANCA TOTAL</t>
  </si>
  <si>
    <t>Si la ganancia operativa disminuye</t>
  </si>
  <si>
    <t>EPF</t>
  </si>
  <si>
    <t>EFECTO PALANCA FINANCIERA</t>
  </si>
  <si>
    <t>la ganancia operativa disminuye</t>
  </si>
  <si>
    <t>EPO</t>
  </si>
  <si>
    <t>Margen de contribución DI</t>
  </si>
  <si>
    <t>EFECTO PALANCA OPERATIVA</t>
  </si>
  <si>
    <t>Disminución de rendimiento patrimonial</t>
  </si>
  <si>
    <t>Rendimiento patrimonial</t>
  </si>
  <si>
    <t>Si no cambia el patrimonio (se distribuye en dividendos un importe igual a la ganan-cia ordinaria)</t>
  </si>
  <si>
    <t>Disminución de ganancia ordinaria</t>
  </si>
  <si>
    <t>Si no cambia el costo de pasivo</t>
  </si>
  <si>
    <t>Disminución ganancia ordinaria 2000 según EPF 1999</t>
  </si>
  <si>
    <t>EPF 1999</t>
  </si>
  <si>
    <t>Disminución ganancia operativa 2000 según EPO 1999</t>
  </si>
  <si>
    <t>Costo pasivo financiero</t>
  </si>
  <si>
    <t>Disminución de rendimiento operativo</t>
  </si>
  <si>
    <t>Si Activo operativo neto constante</t>
  </si>
  <si>
    <t>AFON</t>
  </si>
  <si>
    <t>ACON</t>
  </si>
  <si>
    <t>Disminución de ganancia operativa</t>
  </si>
  <si>
    <t>Costos fijos totales desp de impuesto</t>
  </si>
  <si>
    <t>Efecto impositivo del margen</t>
  </si>
  <si>
    <t>Precio</t>
  </si>
  <si>
    <t>Volumen</t>
  </si>
  <si>
    <t>Disminución por</t>
  </si>
  <si>
    <t>Disminución de ganancia operativa según EPO 1999</t>
  </si>
  <si>
    <t>EPO 1999</t>
  </si>
  <si>
    <t>Disminución de ventas 2000</t>
  </si>
  <si>
    <t>Tasa efectiva impuesto a ganancias</t>
  </si>
  <si>
    <t>Razón de contribución</t>
  </si>
  <si>
    <t>IMPACTO DE UNA DISMINUCION DE VENTAS DE 5%</t>
  </si>
  <si>
    <t>Excedente (faltante) operativo</t>
  </si>
  <si>
    <t>Inversiones fijas operativas</t>
  </si>
  <si>
    <t>Depreciaciones y amortizaciones</t>
  </si>
  <si>
    <t>Cambio en AFON</t>
  </si>
  <si>
    <t>Generación operativa</t>
  </si>
  <si>
    <t>Cambio de ACON</t>
  </si>
  <si>
    <t>Ganancia computable en la generación operativa</t>
  </si>
  <si>
    <t>Depreciaciones bienes de uso</t>
  </si>
  <si>
    <t>Patrimonio neto final</t>
  </si>
  <si>
    <t>Patrimonio neto calculado</t>
  </si>
  <si>
    <t>Patrimonio neto inicial</t>
  </si>
  <si>
    <t>Flujo de fuentes financieras</t>
  </si>
  <si>
    <t>Flujo neto con prestamistas</t>
  </si>
  <si>
    <t>Cambio del Pasivo financiero</t>
  </si>
  <si>
    <t>Costo del pasivo financiero</t>
  </si>
  <si>
    <t>Cambio del Activo operativo neto</t>
  </si>
  <si>
    <t>Flujo de fondos operativo</t>
  </si>
  <si>
    <t>FLUJO DE FONDOS</t>
  </si>
  <si>
    <t>CREDITOS POR VENTAS</t>
  </si>
  <si>
    <t>Compras de materias primas y materiales</t>
  </si>
  <si>
    <t>Consumo total de materias primas y materiales</t>
  </si>
  <si>
    <t>Materias primas y materiales</t>
  </si>
  <si>
    <t>Productos terminados</t>
  </si>
  <si>
    <t>BIENES DE CAMBIO</t>
  </si>
  <si>
    <t>Plazo de exportaciones</t>
  </si>
  <si>
    <t>Plazo de mercado interno</t>
  </si>
  <si>
    <t>Plazo de créditos por ventas</t>
  </si>
  <si>
    <t>Créditos por ventas promedio</t>
  </si>
  <si>
    <t>Ventas diarias</t>
  </si>
  <si>
    <t>Ventas netas más IVA</t>
  </si>
  <si>
    <t>Ventas mercado interno</t>
  </si>
  <si>
    <t>PLAZO DE CREDITOS POR VENTAS</t>
  </si>
  <si>
    <t>Plazo total de consumo</t>
  </si>
  <si>
    <t>Plazo de consumo de productos</t>
  </si>
  <si>
    <t>Productos terminados promedio</t>
  </si>
  <si>
    <t>Costo productos vendidos diario</t>
  </si>
  <si>
    <t>Costo productos vendidos</t>
  </si>
  <si>
    <t>Plazo de consumo de insumos</t>
  </si>
  <si>
    <t>Mat primas y mater promedio</t>
  </si>
  <si>
    <t>Consumo diario</t>
  </si>
  <si>
    <t>Consumo de insumos</t>
  </si>
  <si>
    <t>PLAZO DE BIENES DE CAMBIO</t>
  </si>
  <si>
    <t>Exist final prod terminados</t>
  </si>
  <si>
    <t>Resultado tenencia bc</t>
  </si>
  <si>
    <t>Exist inicial prod terminados</t>
  </si>
  <si>
    <t>Costo de productos terminados</t>
  </si>
  <si>
    <t>Gastos de producción</t>
  </si>
  <si>
    <t>Existencia final insumos</t>
  </si>
  <si>
    <t>Compras</t>
  </si>
  <si>
    <t>Existencia inicial insumos</t>
  </si>
  <si>
    <t>MOVIMIENTO BIENES DE CAMBIO</t>
  </si>
  <si>
    <t>Plazo promedio pasivo</t>
  </si>
  <si>
    <t>Pasivo operativo promedio</t>
  </si>
  <si>
    <t>Pasivo operativo cierto</t>
  </si>
  <si>
    <t>Remunerac y cargas sociales</t>
  </si>
  <si>
    <t>Deudas comerciales</t>
  </si>
  <si>
    <t>Diario</t>
  </si>
  <si>
    <t>Total egresos comparables con el pasivo operativo</t>
  </si>
  <si>
    <t>IVA sobre compras y gastos</t>
  </si>
  <si>
    <t>Total de egresos operativos</t>
  </si>
  <si>
    <t>Servicios varios</t>
  </si>
  <si>
    <t>Gastos</t>
  </si>
  <si>
    <t>PLAZO DE PASIVO OPERATIVO</t>
  </si>
  <si>
    <t>Duración del ciclo corto</t>
  </si>
  <si>
    <t>Pasivo operativo</t>
  </si>
  <si>
    <t>Total compras a cobros</t>
  </si>
  <si>
    <t>Insumos</t>
  </si>
  <si>
    <t>Plazos calculados con saldo promedio</t>
  </si>
  <si>
    <t>Plazos calculados con saldo final</t>
  </si>
  <si>
    <t>DURACION DEL CICLO FINANCIERO CORTO</t>
  </si>
  <si>
    <t>Escriba su respuesta</t>
  </si>
  <si>
    <t>Completar</t>
  </si>
  <si>
    <t>Analice el margen bruto y el margen operativo sobre ventas de Siderar</t>
  </si>
  <si>
    <t>El aumento (o la disminución) del margen operativo sobre ventas en cada año ¿es atribuible principalmente a la evolución del precio o de los costos por uni-dad?</t>
  </si>
  <si>
    <t>Considere los cambios en la cifra de ventas por cambios en precio. ¿Cómo afectan estos cambios su interpretación de la composición del margen sobre ventas (porcentajes verticales)?  ¿Es más adecuado basar el análisis en los costos promedio por unidad de cada año?</t>
  </si>
  <si>
    <t>Considere el estado de situación patrimonial expresado en forma porcentual</t>
  </si>
  <si>
    <t>¿Cuáles son los cambios que considera más significativos en la estructura de activos y de financiamiento de Siderar durante el período?</t>
  </si>
  <si>
    <t>Considere el rendimiento operativo</t>
  </si>
  <si>
    <t>¿Existen diferencias significativas si se calcula el rendimiento con los saldos finales o los saldos promedio?</t>
  </si>
  <si>
    <t>Analice los componentes de la rotación operativa. ¿Cuál es la evolución de cada componente?  ¿A qué puede atribuirse que la evolución sea diferente?  ¿Cómo se relaciona esta evolución con los porcentajes verticales relevantes del estado de situación patrimonial?</t>
  </si>
  <si>
    <t>Analice los componentes del rendimiento patrimonial</t>
  </si>
  <si>
    <t>¿Es muy distinta la evolución del endeudamiento financiero si se calcula con saldos finales o saldos promedio?</t>
  </si>
  <si>
    <t>¿Cuál es el costo porcentual del pasivo financiero más representativo: con el pasivo financiero final o el promedio?</t>
  </si>
  <si>
    <t>En función de lo anterior, ¿el rendimiento patrimonial y sus componentes de-ben calcularse con cifras finales o promedio?</t>
  </si>
  <si>
    <t>¿Cuáles son los factores a los que puede atribuirse la disminución del rendi-miento patrimonial en el último año? ¿Cómo se relacionan con el análisis del margen y del rendimiento operativo?</t>
  </si>
  <si>
    <t>PARTE C</t>
  </si>
  <si>
    <t>PARTE B</t>
  </si>
  <si>
    <t>PARTE D</t>
  </si>
  <si>
    <t>PARTE E</t>
  </si>
  <si>
    <t>PARTE F</t>
  </si>
  <si>
    <t>PARTE I</t>
  </si>
  <si>
    <t>¿Ha cambiado el efecto palanca durante el período? ¿Cuáles son las consecuencias?</t>
  </si>
  <si>
    <t>Con el detalle de gastos y los cálculos realizados en las partes D y E analice el efecto palanca operativa y financiera</t>
  </si>
  <si>
    <t>Si en el ejercicio que termina en 2000 las ventas disminuyen 5%, ¿cuál sería el impacto en el rendimiento operativo y en el rendimiento patrimonial consi-derando los coeficientes de 1999?</t>
  </si>
  <si>
    <t>Para este análisis ¿piensa que es importante distinguir si la disminución de ventas es por menor cantidad o por menor precio?  ¿por qué?</t>
  </si>
  <si>
    <t>PARTES G y H</t>
  </si>
  <si>
    <t>Analice el flujo de fondos y sus componentes</t>
  </si>
  <si>
    <t>¿Cómo interpreta la persistente disminución de la generación operativa? (Utili-ce las conclusiones del análisis del margen sobre ventas)</t>
  </si>
  <si>
    <t>¿Piensa que el flujo de inversiones fijas en los años siguientes se mantendrá en el nivel observado en 1999?</t>
  </si>
  <si>
    <t>Analice la duración del ciclo financiero corto</t>
  </si>
  <si>
    <t>Considerando la evolución de las ventas y de los saldos de activo y pasivo per-tinentes, ¿utilizaría saldos finales o saldos promedio para calcular los plazos?</t>
  </si>
  <si>
    <t>El saldo de insumos (materias primas y materiales) es relativamente estable, aunque el nivel de actividad (en toneladas) ha aumentado de año en año. ¿Esta evolución puede atribuirse a mejoras en la eficiencia de producción? ¿Cómo se relaciona esto con el mayor consumo de insumos en 1998?</t>
  </si>
  <si>
    <t>La duración del ciclo financiero corto disminuyó en 1998 y aumentó  en 1999. ¿Cuáles son los elementos con los que se puede explicar este comportamien-to? ¿Qué relación tiene con el aumento de ACON que se calculó al estable-cer la generación operativa?</t>
  </si>
  <si>
    <t>Planilla de apoyo para la solución del</t>
  </si>
  <si>
    <t>EJERCICIO DE APLICACIÓN</t>
  </si>
  <si>
    <t>1. Siderar S.A.</t>
  </si>
  <si>
    <t>Datos para solución en las hojas siguientes</t>
  </si>
  <si>
    <t>CAPITAL DE TRABAJO</t>
  </si>
  <si>
    <t>Activo corriente</t>
  </si>
  <si>
    <t>Pasivo corriente</t>
  </si>
  <si>
    <t>Capital corriente</t>
  </si>
  <si>
    <t>Capital corriente / Ventas</t>
  </si>
  <si>
    <t>Activo corriente estrictamente operativo</t>
  </si>
  <si>
    <t>Pasivo corriente estrictamente operativo</t>
  </si>
  <si>
    <t>Capital de trabajo operativo</t>
  </si>
  <si>
    <t>CTO / Ventas</t>
  </si>
  <si>
    <t>Activo corriente "financiero"</t>
  </si>
  <si>
    <t>Pasivo corriente financiero</t>
  </si>
  <si>
    <t>Fondo circulante financiero</t>
  </si>
  <si>
    <t>Los datos tienen una protección simple para prevenir el borrado accidental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</si>
</sst>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0.0%"/>
    <numFmt numFmtId="168" formatCode="_(* #,##0.000_);_(* \(#,##0.000\);_(* &quot;-&quot;??_);_(@_)"/>
  </numFmts>
  <fonts count="14">
    <font>
      <sz val="10"/>
      <name val="Arial"/>
      <family val="0"/>
    </font>
    <font>
      <b/>
      <sz val="10"/>
      <name val="Arial"/>
      <family val="2"/>
    </font>
    <font>
      <b/>
      <i/>
      <sz val="10"/>
      <name val="Arial"/>
      <family val="2"/>
    </font>
    <font>
      <b/>
      <sz val="8"/>
      <name val="Arial"/>
      <family val="2"/>
    </font>
    <font>
      <sz val="8"/>
      <name val="Arial"/>
      <family val="2"/>
    </font>
    <font>
      <b/>
      <sz val="14"/>
      <color indexed="53"/>
      <name val="Bookman Old Style"/>
      <family val="1"/>
    </font>
    <font>
      <b/>
      <sz val="12"/>
      <color indexed="53"/>
      <name val="Bookman Old Style"/>
      <family val="1"/>
    </font>
    <font>
      <b/>
      <sz val="12"/>
      <color indexed="12"/>
      <name val="Bookman Old Style"/>
      <family val="1"/>
    </font>
    <font>
      <b/>
      <i/>
      <sz val="10"/>
      <color indexed="12"/>
      <name val="Arial"/>
      <family val="2"/>
    </font>
    <font>
      <b/>
      <sz val="12"/>
      <name val="Bookman Old Style"/>
      <family val="1"/>
    </font>
    <font>
      <i/>
      <sz val="10"/>
      <name val="Arial"/>
      <family val="2"/>
    </font>
    <font>
      <b/>
      <sz val="9"/>
      <name val="Arial"/>
      <family val="2"/>
    </font>
    <font>
      <b/>
      <sz val="9"/>
      <color indexed="10"/>
      <name val="Arial"/>
      <family val="2"/>
    </font>
    <font>
      <b/>
      <sz val="10"/>
      <color indexed="12"/>
      <name val="Arial"/>
      <family val="2"/>
    </font>
  </fonts>
  <fills count="2">
    <fill>
      <patternFill/>
    </fill>
    <fill>
      <patternFill patternType="gray125"/>
    </fill>
  </fills>
  <borders count="17">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8" fillId="0" borderId="0" xfId="0" applyFont="1" applyAlignment="1">
      <alignment horizontal="right"/>
    </xf>
    <xf numFmtId="0" fontId="9" fillId="0" borderId="0" xfId="0" applyFont="1" applyAlignment="1">
      <alignment horizontal="center"/>
    </xf>
    <xf numFmtId="164" fontId="0" fillId="0" borderId="1" xfId="15"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64" fontId="0" fillId="0" borderId="2" xfId="15" applyNumberFormat="1" applyFont="1" applyBorder="1" applyAlignment="1">
      <alignment/>
    </xf>
    <xf numFmtId="0" fontId="2" fillId="0" borderId="3" xfId="0" applyFont="1" applyBorder="1" applyAlignment="1">
      <alignment horizontal="center"/>
    </xf>
    <xf numFmtId="0" fontId="0" fillId="0" borderId="0" xfId="0" applyFont="1" applyAlignment="1">
      <alignment/>
    </xf>
    <xf numFmtId="0" fontId="1" fillId="0" borderId="0" xfId="0" applyFont="1" applyAlignment="1">
      <alignment/>
    </xf>
    <xf numFmtId="164" fontId="10" fillId="0" borderId="1" xfId="15" applyNumberFormat="1" applyFont="1" applyBorder="1" applyAlignment="1">
      <alignment/>
    </xf>
    <xf numFmtId="0" fontId="10" fillId="0" borderId="1" xfId="0" applyFont="1" applyBorder="1" applyAlignment="1">
      <alignment/>
    </xf>
    <xf numFmtId="0" fontId="0" fillId="0" borderId="4" xfId="0" applyFont="1" applyBorder="1" applyAlignment="1">
      <alignment/>
    </xf>
    <xf numFmtId="164" fontId="0" fillId="0" borderId="2" xfId="0" applyNumberFormat="1" applyFont="1" applyBorder="1" applyAlignment="1">
      <alignment/>
    </xf>
    <xf numFmtId="0" fontId="0" fillId="0" borderId="1" xfId="0" applyFont="1" applyBorder="1" applyAlignment="1">
      <alignment vertical="center" wrapText="1"/>
    </xf>
    <xf numFmtId="164" fontId="0" fillId="0" borderId="1" xfId="0" applyNumberFormat="1" applyFont="1" applyBorder="1" applyAlignment="1">
      <alignment/>
    </xf>
    <xf numFmtId="0" fontId="4" fillId="0" borderId="3" xfId="0" applyFont="1" applyBorder="1" applyAlignment="1">
      <alignment horizontal="center" vertical="center" wrapText="1"/>
    </xf>
    <xf numFmtId="0" fontId="1" fillId="0" borderId="5" xfId="0" applyFont="1" applyBorder="1" applyAlignment="1">
      <alignment/>
    </xf>
    <xf numFmtId="164" fontId="0" fillId="0" borderId="3" xfId="15" applyNumberFormat="1" applyFont="1" applyBorder="1" applyAlignment="1">
      <alignment vertical="center" wrapText="1"/>
    </xf>
    <xf numFmtId="0" fontId="0" fillId="0" borderId="3" xfId="0" applyFont="1" applyBorder="1" applyAlignment="1">
      <alignment vertical="center" wrapText="1"/>
    </xf>
    <xf numFmtId="164" fontId="0" fillId="0" borderId="1" xfId="15" applyNumberFormat="1" applyFont="1" applyBorder="1" applyAlignment="1">
      <alignment vertical="center" wrapText="1"/>
    </xf>
    <xf numFmtId="0" fontId="10" fillId="0" borderId="0" xfId="0" applyFont="1" applyBorder="1" applyAlignment="1">
      <alignment vertical="top" wrapText="1"/>
    </xf>
    <xf numFmtId="0" fontId="11" fillId="0" borderId="0" xfId="0" applyFont="1" applyAlignment="1">
      <alignment horizontal="center" vertical="top" wrapText="1"/>
    </xf>
    <xf numFmtId="0" fontId="0" fillId="0" borderId="6" xfId="0" applyBorder="1" applyAlignment="1" applyProtection="1">
      <alignment vertical="top" wrapText="1"/>
      <protection locked="0"/>
    </xf>
    <xf numFmtId="0" fontId="11" fillId="0" borderId="0" xfId="0" applyFont="1" applyAlignment="1">
      <alignment/>
    </xf>
    <xf numFmtId="0" fontId="0" fillId="0" borderId="0" xfId="0" applyBorder="1" applyAlignment="1">
      <alignment wrapText="1"/>
    </xf>
    <xf numFmtId="0" fontId="13" fillId="0" borderId="0" xfId="0" applyFont="1" applyAlignment="1">
      <alignment/>
    </xf>
    <xf numFmtId="0" fontId="13" fillId="0" borderId="0" xfId="0" applyFont="1" applyAlignment="1">
      <alignment horizontal="center"/>
    </xf>
    <xf numFmtId="0" fontId="8"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0" fillId="0" borderId="3" xfId="0" applyFont="1" applyBorder="1" applyAlignment="1" applyProtection="1">
      <alignment/>
      <protection/>
    </xf>
    <xf numFmtId="0" fontId="2" fillId="0" borderId="3" xfId="0" applyFont="1" applyBorder="1" applyAlignment="1" applyProtection="1">
      <alignment horizontal="center"/>
      <protection/>
    </xf>
    <xf numFmtId="0" fontId="0" fillId="0" borderId="2" xfId="0" applyFont="1" applyBorder="1" applyAlignment="1" applyProtection="1">
      <alignment/>
      <protection/>
    </xf>
    <xf numFmtId="165" fontId="0" fillId="0" borderId="2" xfId="15" applyNumberFormat="1" applyFont="1" applyBorder="1" applyAlignment="1" applyProtection="1">
      <alignment/>
      <protection/>
    </xf>
    <xf numFmtId="165" fontId="0" fillId="0" borderId="1" xfId="15" applyNumberFormat="1" applyFont="1" applyBorder="1" applyAlignment="1" applyProtection="1">
      <alignment/>
      <protection/>
    </xf>
    <xf numFmtId="0" fontId="0" fillId="0" borderId="1" xfId="0" applyFont="1" applyBorder="1" applyAlignment="1" applyProtection="1">
      <alignment/>
      <protection/>
    </xf>
    <xf numFmtId="0" fontId="0" fillId="0" borderId="0" xfId="0" applyFont="1" applyBorder="1" applyAlignment="1" applyProtection="1">
      <alignment/>
      <protection/>
    </xf>
    <xf numFmtId="164" fontId="0" fillId="0" borderId="2" xfId="15" applyNumberFormat="1" applyFont="1" applyBorder="1" applyAlignment="1" applyProtection="1">
      <alignment/>
      <protection/>
    </xf>
    <xf numFmtId="164" fontId="0" fillId="0" borderId="1" xfId="15" applyNumberFormat="1" applyFont="1" applyBorder="1" applyAlignment="1" applyProtection="1">
      <alignment/>
      <protection/>
    </xf>
    <xf numFmtId="0" fontId="0" fillId="0" borderId="0" xfId="0" applyAlignment="1" applyProtection="1">
      <alignment/>
      <protection locked="0"/>
    </xf>
    <xf numFmtId="0" fontId="0" fillId="0" borderId="0" xfId="0" applyFont="1" applyAlignment="1" applyProtection="1">
      <alignment/>
      <protection locked="0"/>
    </xf>
    <xf numFmtId="0" fontId="2" fillId="0" borderId="3" xfId="0" applyFont="1" applyBorder="1" applyAlignment="1" applyProtection="1">
      <alignment horizontal="center"/>
      <protection locked="0"/>
    </xf>
    <xf numFmtId="0" fontId="0" fillId="0" borderId="2" xfId="0" applyFont="1" applyBorder="1" applyAlignment="1" applyProtection="1">
      <alignment/>
      <protection locked="0"/>
    </xf>
    <xf numFmtId="165" fontId="0" fillId="0" borderId="2" xfId="15" applyNumberFormat="1" applyFont="1" applyBorder="1" applyAlignment="1" applyProtection="1">
      <alignment/>
      <protection locked="0"/>
    </xf>
    <xf numFmtId="165" fontId="0" fillId="0" borderId="1" xfId="15" applyNumberFormat="1" applyFont="1" applyBorder="1" applyAlignment="1" applyProtection="1">
      <alignment/>
      <protection locked="0"/>
    </xf>
    <xf numFmtId="0" fontId="0" fillId="0" borderId="0" xfId="0" applyFont="1" applyBorder="1" applyAlignment="1" applyProtection="1">
      <alignment/>
      <protection locked="0"/>
    </xf>
    <xf numFmtId="164" fontId="0" fillId="0" borderId="2" xfId="15" applyNumberFormat="1" applyFont="1" applyBorder="1" applyAlignment="1" applyProtection="1">
      <alignment/>
      <protection locked="0"/>
    </xf>
    <xf numFmtId="164" fontId="0" fillId="0" borderId="1" xfId="15" applyNumberFormat="1" applyFont="1" applyBorder="1" applyAlignment="1" applyProtection="1">
      <alignment/>
      <protection locked="0"/>
    </xf>
    <xf numFmtId="164" fontId="10" fillId="0" borderId="2" xfId="15" applyNumberFormat="1" applyFont="1" applyBorder="1" applyAlignment="1" applyProtection="1">
      <alignment/>
      <protection locked="0"/>
    </xf>
    <xf numFmtId="164" fontId="10" fillId="0" borderId="3" xfId="15" applyNumberFormat="1" applyFont="1" applyBorder="1" applyAlignment="1" applyProtection="1">
      <alignment/>
      <protection locked="0"/>
    </xf>
    <xf numFmtId="0" fontId="10" fillId="0" borderId="2" xfId="0" applyFont="1" applyBorder="1" applyAlignment="1" applyProtection="1">
      <alignment/>
      <protection/>
    </xf>
    <xf numFmtId="164" fontId="10" fillId="0" borderId="2" xfId="15" applyNumberFormat="1" applyFont="1" applyBorder="1" applyAlignment="1" applyProtection="1">
      <alignment/>
      <protection/>
    </xf>
    <xf numFmtId="164" fontId="10" fillId="0" borderId="3" xfId="15" applyNumberFormat="1" applyFont="1" applyBorder="1" applyAlignment="1" applyProtection="1">
      <alignment/>
      <protection/>
    </xf>
    <xf numFmtId="0" fontId="2" fillId="0" borderId="1" xfId="0" applyFont="1" applyBorder="1" applyAlignment="1" applyProtection="1">
      <alignment/>
      <protection/>
    </xf>
    <xf numFmtId="164" fontId="2" fillId="0" borderId="1" xfId="15" applyNumberFormat="1" applyFont="1" applyBorder="1" applyAlignment="1" applyProtection="1">
      <alignment/>
      <protection/>
    </xf>
    <xf numFmtId="0" fontId="1" fillId="0" borderId="1" xfId="0" applyFont="1" applyBorder="1" applyAlignment="1" applyProtection="1">
      <alignment/>
      <protection/>
    </xf>
    <xf numFmtId="164" fontId="1" fillId="0" borderId="1" xfId="15" applyNumberFormat="1" applyFont="1" applyBorder="1" applyAlignment="1" applyProtection="1">
      <alignment/>
      <protection/>
    </xf>
    <xf numFmtId="164" fontId="10" fillId="0" borderId="1" xfId="15" applyNumberFormat="1" applyFont="1" applyBorder="1" applyAlignment="1" applyProtection="1">
      <alignment/>
      <protection locked="0"/>
    </xf>
    <xf numFmtId="43" fontId="0" fillId="0" borderId="0" xfId="0" applyNumberFormat="1" applyFont="1" applyAlignment="1" applyProtection="1">
      <alignment/>
      <protection/>
    </xf>
    <xf numFmtId="0" fontId="10" fillId="0" borderId="1" xfId="0" applyFont="1" applyBorder="1" applyAlignment="1" applyProtection="1">
      <alignment/>
      <protection/>
    </xf>
    <xf numFmtId="164" fontId="10" fillId="0" borderId="1" xfId="15" applyNumberFormat="1" applyFont="1" applyBorder="1" applyAlignment="1" applyProtection="1">
      <alignment/>
      <protection/>
    </xf>
    <xf numFmtId="164" fontId="0" fillId="0" borderId="0" xfId="15" applyNumberFormat="1" applyFont="1" applyAlignment="1" applyProtection="1">
      <alignment/>
      <protection/>
    </xf>
    <xf numFmtId="9" fontId="0" fillId="0" borderId="0" xfId="19" applyFont="1" applyAlignment="1" applyProtection="1">
      <alignment/>
      <protection/>
    </xf>
    <xf numFmtId="0" fontId="12" fillId="0" borderId="0" xfId="0" applyFont="1" applyAlignment="1" applyProtection="1">
      <alignment/>
      <protection locked="0"/>
    </xf>
    <xf numFmtId="0" fontId="0" fillId="0" borderId="4" xfId="0" applyFont="1" applyBorder="1" applyAlignment="1" applyProtection="1">
      <alignment/>
      <protection locked="0"/>
    </xf>
    <xf numFmtId="166" fontId="0" fillId="0" borderId="0" xfId="0" applyNumberFormat="1" applyFont="1" applyAlignment="1" applyProtection="1">
      <alignment/>
      <protection locked="0"/>
    </xf>
    <xf numFmtId="9" fontId="0" fillId="0" borderId="4" xfId="19" applyFont="1" applyBorder="1" applyAlignment="1" applyProtection="1">
      <alignment/>
      <protection locked="0"/>
    </xf>
    <xf numFmtId="164" fontId="0" fillId="0" borderId="2" xfId="19" applyNumberFormat="1" applyFont="1" applyBorder="1" applyAlignment="1" applyProtection="1">
      <alignment/>
      <protection locked="0"/>
    </xf>
    <xf numFmtId="164" fontId="0" fillId="0" borderId="2" xfId="0" applyNumberFormat="1" applyFont="1" applyBorder="1" applyAlignment="1" applyProtection="1">
      <alignment/>
      <protection locked="0"/>
    </xf>
    <xf numFmtId="0" fontId="0" fillId="0" borderId="4" xfId="0" applyFont="1" applyBorder="1" applyAlignment="1" applyProtection="1">
      <alignment/>
      <protection/>
    </xf>
    <xf numFmtId="166" fontId="0" fillId="0" borderId="0" xfId="0" applyNumberFormat="1" applyFont="1" applyAlignment="1" applyProtection="1">
      <alignment/>
      <protection/>
    </xf>
    <xf numFmtId="9" fontId="0" fillId="0" borderId="4" xfId="19" applyFont="1" applyBorder="1" applyAlignment="1" applyProtection="1">
      <alignment/>
      <protection/>
    </xf>
    <xf numFmtId="164" fontId="0" fillId="0" borderId="2" xfId="19" applyNumberFormat="1" applyFont="1" applyBorder="1" applyAlignment="1" applyProtection="1">
      <alignment/>
      <protection/>
    </xf>
    <xf numFmtId="164" fontId="0" fillId="0" borderId="2" xfId="0" applyNumberFormat="1" applyFont="1" applyBorder="1" applyAlignment="1" applyProtection="1">
      <alignment/>
      <protection/>
    </xf>
    <xf numFmtId="166" fontId="0" fillId="0" borderId="2" xfId="0" applyNumberFormat="1" applyFont="1" applyBorder="1" applyAlignment="1" applyProtection="1">
      <alignment/>
      <protection/>
    </xf>
    <xf numFmtId="166" fontId="0" fillId="0" borderId="1" xfId="0" applyNumberFormat="1" applyFont="1" applyBorder="1" applyAlignment="1" applyProtection="1">
      <alignment/>
      <protection/>
    </xf>
    <xf numFmtId="164" fontId="0" fillId="0" borderId="4" xfId="15" applyNumberFormat="1" applyFont="1" applyBorder="1" applyAlignment="1" applyProtection="1">
      <alignment horizontal="right"/>
      <protection locked="0"/>
    </xf>
    <xf numFmtId="164" fontId="0" fillId="0" borderId="2" xfId="15" applyNumberFormat="1" applyFont="1" applyBorder="1" applyAlignment="1" applyProtection="1">
      <alignment horizontal="right"/>
      <protection locked="0"/>
    </xf>
    <xf numFmtId="164" fontId="0" fillId="0" borderId="1" xfId="15" applyNumberFormat="1" applyFont="1" applyBorder="1" applyAlignment="1" applyProtection="1">
      <alignment horizontal="right"/>
      <protection locked="0"/>
    </xf>
    <xf numFmtId="167" fontId="0" fillId="0" borderId="3" xfId="19" applyNumberFormat="1" applyFont="1" applyBorder="1" applyAlignment="1" applyProtection="1">
      <alignment/>
      <protection locked="0"/>
    </xf>
    <xf numFmtId="167" fontId="0" fillId="0" borderId="0" xfId="19" applyNumberFormat="1" applyFont="1" applyBorder="1" applyAlignment="1" applyProtection="1">
      <alignment/>
      <protection locked="0"/>
    </xf>
    <xf numFmtId="167" fontId="0" fillId="0" borderId="2" xfId="19" applyNumberFormat="1" applyFont="1" applyBorder="1" applyAlignment="1" applyProtection="1">
      <alignment/>
      <protection locked="0"/>
    </xf>
    <xf numFmtId="43" fontId="0" fillId="0" borderId="1" xfId="15" applyFont="1" applyBorder="1" applyAlignment="1" applyProtection="1">
      <alignment/>
      <protection locked="0"/>
    </xf>
    <xf numFmtId="167" fontId="0" fillId="0" borderId="1" xfId="19" applyNumberFormat="1" applyFont="1" applyBorder="1" applyAlignment="1" applyProtection="1">
      <alignment/>
      <protection locked="0"/>
    </xf>
    <xf numFmtId="43" fontId="0" fillId="0" borderId="2" xfId="15" applyFont="1" applyBorder="1" applyAlignment="1" applyProtection="1">
      <alignment/>
      <protection locked="0"/>
    </xf>
    <xf numFmtId="164" fontId="0" fillId="0" borderId="4" xfId="15" applyNumberFormat="1" applyFont="1" applyBorder="1" applyAlignment="1" applyProtection="1">
      <alignment horizontal="right"/>
      <protection/>
    </xf>
    <xf numFmtId="164" fontId="0" fillId="0" borderId="2" xfId="15" applyNumberFormat="1" applyFont="1" applyBorder="1" applyAlignment="1" applyProtection="1">
      <alignment horizontal="right"/>
      <protection/>
    </xf>
    <xf numFmtId="164" fontId="0" fillId="0" borderId="1" xfId="15" applyNumberFormat="1" applyFont="1" applyBorder="1" applyAlignment="1" applyProtection="1">
      <alignment horizontal="right"/>
      <protection/>
    </xf>
    <xf numFmtId="167" fontId="0" fillId="0" borderId="3" xfId="19" applyNumberFormat="1" applyFont="1" applyBorder="1" applyAlignment="1" applyProtection="1">
      <alignment/>
      <protection/>
    </xf>
    <xf numFmtId="167" fontId="0" fillId="0" borderId="0" xfId="19" applyNumberFormat="1" applyFont="1" applyBorder="1" applyAlignment="1" applyProtection="1">
      <alignment/>
      <protection/>
    </xf>
    <xf numFmtId="0" fontId="1" fillId="0" borderId="0" xfId="0" applyFont="1" applyBorder="1" applyAlignment="1" applyProtection="1">
      <alignment/>
      <protection/>
    </xf>
    <xf numFmtId="167" fontId="0" fillId="0" borderId="2" xfId="19" applyNumberFormat="1" applyFont="1" applyBorder="1" applyAlignment="1" applyProtection="1">
      <alignment/>
      <protection/>
    </xf>
    <xf numFmtId="167" fontId="10" fillId="0" borderId="2" xfId="19" applyNumberFormat="1" applyFont="1" applyBorder="1" applyAlignment="1" applyProtection="1">
      <alignment/>
      <protection/>
    </xf>
    <xf numFmtId="167" fontId="10" fillId="0" borderId="1" xfId="19" applyNumberFormat="1" applyFont="1" applyBorder="1" applyAlignment="1" applyProtection="1">
      <alignment/>
      <protection/>
    </xf>
    <xf numFmtId="165" fontId="0" fillId="0" borderId="4" xfId="15" applyNumberFormat="1" applyFont="1" applyBorder="1" applyAlignment="1" applyProtection="1">
      <alignment/>
      <protection/>
    </xf>
    <xf numFmtId="168" fontId="0" fillId="0" borderId="0" xfId="15" applyNumberFormat="1" applyFont="1" applyBorder="1" applyAlignment="1" applyProtection="1">
      <alignment/>
      <protection/>
    </xf>
    <xf numFmtId="168" fontId="0" fillId="0" borderId="0" xfId="15" applyNumberFormat="1" applyFont="1" applyAlignment="1" applyProtection="1">
      <alignment/>
      <protection/>
    </xf>
    <xf numFmtId="43" fontId="0" fillId="0" borderId="4" xfId="15" applyFont="1" applyBorder="1" applyAlignment="1" applyProtection="1">
      <alignment/>
      <protection/>
    </xf>
    <xf numFmtId="167" fontId="0" fillId="0" borderId="4" xfId="19" applyNumberFormat="1" applyFont="1" applyBorder="1" applyAlignment="1" applyProtection="1">
      <alignment/>
      <protection/>
    </xf>
    <xf numFmtId="43" fontId="0" fillId="0" borderId="1" xfId="15" applyFont="1" applyBorder="1" applyAlignment="1" applyProtection="1">
      <alignment/>
      <protection/>
    </xf>
    <xf numFmtId="167" fontId="0" fillId="0" borderId="1" xfId="19" applyNumberFormat="1" applyFont="1" applyBorder="1" applyAlignment="1" applyProtection="1">
      <alignment/>
      <protection/>
    </xf>
    <xf numFmtId="43" fontId="0" fillId="0" borderId="2" xfId="15" applyFont="1" applyBorder="1" applyAlignment="1" applyProtection="1">
      <alignment/>
      <protection/>
    </xf>
    <xf numFmtId="167" fontId="10" fillId="0" borderId="3" xfId="19" applyNumberFormat="1" applyFont="1" applyBorder="1" applyAlignment="1" applyProtection="1">
      <alignment/>
      <protection/>
    </xf>
    <xf numFmtId="167" fontId="2" fillId="0" borderId="1" xfId="19" applyNumberFormat="1" applyFont="1" applyBorder="1" applyAlignment="1" applyProtection="1">
      <alignment/>
      <protection/>
    </xf>
    <xf numFmtId="167" fontId="1" fillId="0" borderId="1" xfId="19" applyNumberFormat="1" applyFont="1" applyBorder="1" applyAlignment="1" applyProtection="1">
      <alignment/>
      <protection/>
    </xf>
    <xf numFmtId="164" fontId="0" fillId="0" borderId="2" xfId="0" applyNumberFormat="1" applyFont="1" applyBorder="1" applyAlignment="1" applyProtection="1">
      <alignment horizontal="right"/>
      <protection locked="0"/>
    </xf>
    <xf numFmtId="43" fontId="0" fillId="0" borderId="0" xfId="15" applyFont="1" applyBorder="1" applyAlignment="1" applyProtection="1">
      <alignment/>
      <protection locked="0"/>
    </xf>
    <xf numFmtId="43" fontId="0" fillId="0" borderId="2" xfId="0" applyNumberFormat="1" applyFont="1" applyBorder="1" applyAlignment="1" applyProtection="1">
      <alignment/>
      <protection locked="0"/>
    </xf>
    <xf numFmtId="43" fontId="0" fillId="0" borderId="1" xfId="0" applyNumberFormat="1" applyFont="1" applyBorder="1" applyAlignment="1" applyProtection="1">
      <alignment/>
      <protection locked="0"/>
    </xf>
    <xf numFmtId="168" fontId="0" fillId="0" borderId="2" xfId="0" applyNumberFormat="1" applyFont="1" applyBorder="1" applyAlignment="1" applyProtection="1">
      <alignment/>
      <protection locked="0"/>
    </xf>
    <xf numFmtId="164" fontId="0" fillId="0" borderId="2" xfId="0" applyNumberFormat="1" applyFont="1" applyBorder="1" applyAlignment="1" applyProtection="1">
      <alignment horizontal="right"/>
      <protection/>
    </xf>
    <xf numFmtId="0" fontId="0" fillId="0" borderId="2" xfId="0" applyFont="1" applyBorder="1" applyAlignment="1" applyProtection="1">
      <alignment horizontal="right"/>
      <protection/>
    </xf>
    <xf numFmtId="43" fontId="0" fillId="0" borderId="0" xfId="15" applyFont="1" applyBorder="1" applyAlignment="1" applyProtection="1">
      <alignment/>
      <protection/>
    </xf>
    <xf numFmtId="43" fontId="0" fillId="0" borderId="2" xfId="0" applyNumberFormat="1" applyFont="1" applyBorder="1" applyAlignment="1" applyProtection="1">
      <alignment/>
      <protection/>
    </xf>
    <xf numFmtId="43" fontId="0" fillId="0" borderId="1" xfId="0" applyNumberFormat="1" applyFont="1" applyBorder="1" applyAlignment="1" applyProtection="1">
      <alignment/>
      <protection/>
    </xf>
    <xf numFmtId="168" fontId="0" fillId="0" borderId="2" xfId="0" applyNumberFormat="1" applyFont="1" applyBorder="1" applyAlignment="1" applyProtection="1">
      <alignment/>
      <protection/>
    </xf>
    <xf numFmtId="168" fontId="0" fillId="0" borderId="1" xfId="0" applyNumberFormat="1" applyFont="1" applyBorder="1" applyAlignment="1" applyProtection="1">
      <alignment/>
      <protection/>
    </xf>
    <xf numFmtId="0" fontId="2" fillId="0" borderId="2" xfId="0" applyFont="1" applyBorder="1" applyAlignment="1" applyProtection="1">
      <alignment horizontal="center"/>
      <protection locked="0"/>
    </xf>
    <xf numFmtId="167" fontId="0" fillId="0" borderId="2" xfId="19" applyNumberFormat="1" applyFont="1" applyBorder="1" applyAlignment="1" applyProtection="1">
      <alignment horizontal="right"/>
      <protection locked="0"/>
    </xf>
    <xf numFmtId="167" fontId="0" fillId="0" borderId="1" xfId="19" applyNumberFormat="1" applyFont="1" applyBorder="1" applyAlignment="1" applyProtection="1">
      <alignment horizontal="right"/>
      <protection locked="0"/>
    </xf>
    <xf numFmtId="0" fontId="2" fillId="0" borderId="0" xfId="0" applyFont="1" applyBorder="1" applyAlignment="1" applyProtection="1">
      <alignment horizontal="center"/>
      <protection locked="0"/>
    </xf>
    <xf numFmtId="0" fontId="2" fillId="0" borderId="2" xfId="0" applyFont="1" applyBorder="1" applyAlignment="1" applyProtection="1">
      <alignment horizontal="center"/>
      <protection/>
    </xf>
    <xf numFmtId="167" fontId="0" fillId="0" borderId="2" xfId="19" applyNumberFormat="1" applyFont="1" applyBorder="1" applyAlignment="1" applyProtection="1">
      <alignment horizontal="right"/>
      <protection/>
    </xf>
    <xf numFmtId="167" fontId="0" fillId="0" borderId="1" xfId="19" applyNumberFormat="1" applyFont="1" applyBorder="1" applyAlignment="1" applyProtection="1">
      <alignment horizontal="right"/>
      <protection/>
    </xf>
    <xf numFmtId="0" fontId="2" fillId="0" borderId="0" xfId="0" applyFont="1" applyBorder="1" applyAlignment="1" applyProtection="1">
      <alignment horizontal="center"/>
      <protection/>
    </xf>
    <xf numFmtId="167" fontId="0" fillId="0" borderId="1" xfId="0" applyNumberFormat="1" applyFont="1" applyBorder="1" applyAlignment="1" applyProtection="1">
      <alignment/>
      <protection/>
    </xf>
    <xf numFmtId="167" fontId="0" fillId="0" borderId="2" xfId="0" applyNumberFormat="1" applyFont="1" applyBorder="1" applyAlignment="1" applyProtection="1">
      <alignment/>
      <protection/>
    </xf>
    <xf numFmtId="167" fontId="0" fillId="0" borderId="0" xfId="0" applyNumberFormat="1" applyFont="1" applyAlignment="1" applyProtection="1">
      <alignment/>
      <protection/>
    </xf>
    <xf numFmtId="167" fontId="0" fillId="0" borderId="3" xfId="0" applyNumberFormat="1" applyFont="1" applyBorder="1" applyAlignment="1" applyProtection="1">
      <alignment/>
      <protection/>
    </xf>
    <xf numFmtId="0" fontId="0" fillId="0" borderId="2" xfId="0" applyFont="1" applyBorder="1" applyAlignment="1" applyProtection="1">
      <alignment vertical="center" wrapText="1"/>
      <protection/>
    </xf>
    <xf numFmtId="167" fontId="0" fillId="0" borderId="2" xfId="19" applyNumberFormat="1" applyFont="1" applyBorder="1" applyAlignment="1" applyProtection="1">
      <alignment vertical="center"/>
      <protection/>
    </xf>
    <xf numFmtId="0" fontId="0" fillId="0" borderId="1" xfId="0" applyFont="1" applyBorder="1" applyAlignment="1" applyProtection="1">
      <alignment vertical="center" wrapText="1"/>
      <protection/>
    </xf>
    <xf numFmtId="43" fontId="0" fillId="0" borderId="1" xfId="0" applyNumberFormat="1" applyFont="1" applyBorder="1" applyAlignment="1" applyProtection="1">
      <alignment vertical="center"/>
      <protection/>
    </xf>
    <xf numFmtId="43" fontId="0" fillId="0" borderId="0" xfId="0" applyNumberFormat="1" applyFont="1" applyBorder="1" applyAlignment="1" applyProtection="1">
      <alignment/>
      <protection/>
    </xf>
    <xf numFmtId="9" fontId="0" fillId="0" borderId="2" xfId="19" applyFont="1" applyBorder="1" applyAlignment="1" applyProtection="1">
      <alignment/>
      <protection locked="0"/>
    </xf>
    <xf numFmtId="9" fontId="0" fillId="0" borderId="1" xfId="19" applyFont="1" applyBorder="1" applyAlignment="1" applyProtection="1">
      <alignment/>
      <protection locked="0"/>
    </xf>
    <xf numFmtId="0" fontId="0" fillId="0" borderId="2" xfId="0" applyFont="1" applyBorder="1" applyAlignment="1" applyProtection="1">
      <alignment horizontal="center"/>
      <protection/>
    </xf>
    <xf numFmtId="9" fontId="0" fillId="0" borderId="2" xfId="19" applyFont="1" applyBorder="1" applyAlignment="1" applyProtection="1">
      <alignment/>
      <protection/>
    </xf>
    <xf numFmtId="9" fontId="0" fillId="0" borderId="1" xfId="19" applyFont="1" applyBorder="1" applyAlignment="1" applyProtection="1">
      <alignment/>
      <protection/>
    </xf>
    <xf numFmtId="164" fontId="0" fillId="0" borderId="0" xfId="15" applyNumberFormat="1" applyFont="1" applyBorder="1" applyAlignment="1" applyProtection="1">
      <alignment/>
      <protection/>
    </xf>
    <xf numFmtId="0" fontId="1" fillId="0" borderId="2" xfId="0" applyFont="1" applyBorder="1" applyAlignment="1" applyProtection="1">
      <alignment/>
      <protection/>
    </xf>
    <xf numFmtId="168" fontId="0" fillId="0" borderId="2" xfId="15" applyNumberFormat="1" applyFont="1" applyBorder="1" applyAlignment="1" applyProtection="1">
      <alignment/>
      <protection/>
    </xf>
    <xf numFmtId="0" fontId="1" fillId="0" borderId="4" xfId="0" applyFont="1" applyBorder="1" applyAlignment="1" applyProtection="1">
      <alignment/>
      <protection/>
    </xf>
    <xf numFmtId="164" fontId="0" fillId="0" borderId="1" xfId="0" applyNumberFormat="1" applyFont="1" applyBorder="1" applyAlignment="1" applyProtection="1">
      <alignment/>
      <protection/>
    </xf>
    <xf numFmtId="43" fontId="0" fillId="0" borderId="3" xfId="0" applyNumberFormat="1" applyFont="1" applyBorder="1" applyAlignment="1" applyProtection="1">
      <alignment/>
      <protection locked="0"/>
    </xf>
    <xf numFmtId="43" fontId="0" fillId="0" borderId="3" xfId="15" applyFont="1" applyBorder="1" applyAlignment="1" applyProtection="1">
      <alignment/>
      <protection locked="0"/>
    </xf>
    <xf numFmtId="43" fontId="0" fillId="0" borderId="3" xfId="0" applyNumberFormat="1" applyFont="1" applyBorder="1" applyAlignment="1" applyProtection="1">
      <alignment/>
      <protection/>
    </xf>
    <xf numFmtId="0" fontId="10" fillId="0" borderId="2" xfId="0" applyFont="1" applyBorder="1" applyAlignment="1" applyProtection="1">
      <alignment horizontal="right"/>
      <protection/>
    </xf>
    <xf numFmtId="0" fontId="10" fillId="0" borderId="1" xfId="0" applyFont="1" applyBorder="1" applyAlignment="1" applyProtection="1">
      <alignment horizontal="right"/>
      <protection/>
    </xf>
    <xf numFmtId="43" fontId="0" fillId="0" borderId="3" xfId="15" applyFont="1" applyBorder="1" applyAlignment="1" applyProtection="1">
      <alignment/>
      <protection/>
    </xf>
    <xf numFmtId="0" fontId="0" fillId="0" borderId="0" xfId="0" applyNumberFormat="1" applyFont="1" applyAlignment="1" applyProtection="1">
      <alignment/>
      <protection locked="0"/>
    </xf>
    <xf numFmtId="43" fontId="0" fillId="0" borderId="0" xfId="15" applyFont="1" applyAlignment="1" applyProtection="1">
      <alignment/>
      <protection locked="0"/>
    </xf>
    <xf numFmtId="164" fontId="0" fillId="0" borderId="4" xfId="15" applyNumberFormat="1" applyFont="1" applyBorder="1" applyAlignment="1" applyProtection="1">
      <alignment/>
      <protection locked="0"/>
    </xf>
    <xf numFmtId="0" fontId="0" fillId="0" borderId="4" xfId="0" applyNumberFormat="1" applyFont="1" applyBorder="1" applyAlignment="1" applyProtection="1">
      <alignment/>
      <protection/>
    </xf>
    <xf numFmtId="0" fontId="2" fillId="0" borderId="3" xfId="15" applyNumberFormat="1" applyFont="1" applyBorder="1" applyAlignment="1" applyProtection="1">
      <alignment horizontal="center"/>
      <protection/>
    </xf>
    <xf numFmtId="0" fontId="10" fillId="0" borderId="2" xfId="0" applyFont="1" applyBorder="1" applyAlignment="1" applyProtection="1">
      <alignment vertical="center" wrapText="1"/>
      <protection/>
    </xf>
    <xf numFmtId="167" fontId="10" fillId="0" borderId="2" xfId="19" applyNumberFormat="1" applyFont="1" applyBorder="1" applyAlignment="1" applyProtection="1">
      <alignment vertical="center" wrapText="1"/>
      <protection/>
    </xf>
    <xf numFmtId="0" fontId="0" fillId="0" borderId="7" xfId="0" applyFont="1" applyBorder="1" applyAlignment="1" applyProtection="1">
      <alignment/>
      <protection/>
    </xf>
    <xf numFmtId="167" fontId="0" fillId="0" borderId="8" xfId="19" applyNumberFormat="1" applyFont="1" applyBorder="1" applyAlignment="1" applyProtection="1">
      <alignment/>
      <protection/>
    </xf>
    <xf numFmtId="167" fontId="0" fillId="0" borderId="9" xfId="19" applyNumberFormat="1" applyFont="1" applyBorder="1" applyAlignment="1" applyProtection="1">
      <alignment/>
      <protection/>
    </xf>
    <xf numFmtId="0" fontId="0" fillId="0" borderId="10" xfId="0" applyFont="1" applyBorder="1" applyAlignment="1" applyProtection="1">
      <alignment/>
      <protection/>
    </xf>
    <xf numFmtId="167" fontId="0" fillId="0" borderId="11" xfId="19" applyNumberFormat="1" applyFont="1" applyBorder="1" applyAlignment="1" applyProtection="1">
      <alignment/>
      <protection/>
    </xf>
    <xf numFmtId="43" fontId="0" fillId="0" borderId="3" xfId="15" applyFont="1" applyBorder="1" applyAlignment="1" applyProtection="1">
      <alignment horizontal="center"/>
      <protection/>
    </xf>
    <xf numFmtId="0" fontId="0" fillId="0" borderId="12" xfId="0" applyFont="1" applyBorder="1" applyAlignment="1" applyProtection="1">
      <alignment/>
      <protection/>
    </xf>
    <xf numFmtId="43" fontId="0" fillId="0" borderId="8" xfId="15" applyFont="1" applyBorder="1" applyAlignment="1" applyProtection="1">
      <alignment/>
      <protection/>
    </xf>
    <xf numFmtId="43" fontId="0" fillId="0" borderId="9" xfId="15" applyFont="1" applyBorder="1" applyAlignment="1" applyProtection="1">
      <alignment/>
      <protection/>
    </xf>
    <xf numFmtId="0" fontId="0" fillId="0" borderId="13" xfId="0" applyFont="1" applyBorder="1" applyAlignment="1" applyProtection="1">
      <alignment/>
      <protection/>
    </xf>
    <xf numFmtId="43" fontId="0" fillId="0" borderId="11" xfId="15" applyFont="1" applyBorder="1" applyAlignment="1" applyProtection="1">
      <alignment/>
      <protection/>
    </xf>
    <xf numFmtId="164" fontId="0" fillId="0" borderId="4" xfId="15" applyNumberFormat="1" applyFont="1" applyBorder="1" applyAlignment="1" applyProtection="1">
      <alignment/>
      <protection/>
    </xf>
    <xf numFmtId="10" fontId="0" fillId="0" borderId="2" xfId="19" applyNumberFormat="1" applyFont="1" applyBorder="1" applyAlignment="1" applyProtection="1">
      <alignment/>
      <protection/>
    </xf>
    <xf numFmtId="167" fontId="0" fillId="0" borderId="2" xfId="15" applyNumberFormat="1" applyFont="1" applyBorder="1" applyAlignment="1" applyProtection="1">
      <alignment vertical="center" wrapText="1"/>
      <protection/>
    </xf>
    <xf numFmtId="43" fontId="0" fillId="0" borderId="2" xfId="15" applyFont="1" applyBorder="1" applyAlignment="1" applyProtection="1">
      <alignment vertical="center" wrapText="1"/>
      <protection/>
    </xf>
    <xf numFmtId="0" fontId="10" fillId="0" borderId="1" xfId="0" applyFont="1" applyBorder="1" applyAlignment="1" applyProtection="1">
      <alignment vertical="center" wrapText="1"/>
      <protection/>
    </xf>
    <xf numFmtId="167" fontId="0" fillId="0" borderId="1" xfId="19" applyNumberFormat="1" applyFont="1" applyBorder="1" applyAlignment="1" applyProtection="1">
      <alignment vertical="center" wrapText="1"/>
      <protection/>
    </xf>
    <xf numFmtId="0" fontId="10" fillId="0" borderId="4" xfId="0" applyFont="1" applyBorder="1" applyAlignment="1" applyProtection="1">
      <alignment/>
      <protection/>
    </xf>
    <xf numFmtId="0" fontId="10" fillId="0" borderId="4" xfId="0" applyFont="1" applyBorder="1" applyAlignment="1" applyProtection="1">
      <alignment vertical="center" wrapText="1"/>
      <protection/>
    </xf>
    <xf numFmtId="0" fontId="1" fillId="0" borderId="3" xfId="0" applyFont="1" applyBorder="1" applyAlignment="1" applyProtection="1">
      <alignment horizontal="center"/>
      <protection locked="0"/>
    </xf>
    <xf numFmtId="165" fontId="0" fillId="0" borderId="3" xfId="15" applyNumberFormat="1" applyFont="1" applyBorder="1" applyAlignment="1" applyProtection="1">
      <alignment/>
      <protection locked="0"/>
    </xf>
    <xf numFmtId="164" fontId="0" fillId="0" borderId="3" xfId="15" applyNumberFormat="1" applyFont="1" applyBorder="1" applyAlignment="1" applyProtection="1">
      <alignment/>
      <protection locked="0"/>
    </xf>
    <xf numFmtId="0" fontId="1" fillId="0" borderId="3" xfId="0" applyFont="1" applyBorder="1" applyAlignment="1" applyProtection="1">
      <alignment horizontal="center"/>
      <protection/>
    </xf>
    <xf numFmtId="165" fontId="0" fillId="0" borderId="3" xfId="15" applyNumberFormat="1" applyFont="1" applyBorder="1" applyAlignment="1" applyProtection="1">
      <alignment/>
      <protection/>
    </xf>
    <xf numFmtId="164" fontId="0" fillId="0" borderId="3" xfId="15" applyNumberFormat="1" applyFont="1" applyBorder="1" applyAlignment="1" applyProtection="1">
      <alignment/>
      <protection/>
    </xf>
    <xf numFmtId="165" fontId="0" fillId="0" borderId="2" xfId="0" applyNumberFormat="1" applyFont="1" applyBorder="1" applyAlignment="1" applyProtection="1">
      <alignment/>
      <protection locked="0"/>
    </xf>
    <xf numFmtId="165" fontId="0" fillId="0" borderId="1" xfId="0" applyNumberFormat="1" applyFont="1" applyBorder="1" applyAlignment="1" applyProtection="1">
      <alignment/>
      <protection locked="0"/>
    </xf>
    <xf numFmtId="164" fontId="0" fillId="0" borderId="0" xfId="0" applyNumberFormat="1" applyFont="1" applyBorder="1" applyAlignment="1" applyProtection="1">
      <alignment/>
      <protection/>
    </xf>
    <xf numFmtId="165" fontId="0" fillId="0" borderId="2" xfId="0" applyNumberFormat="1" applyFont="1" applyBorder="1" applyAlignment="1" applyProtection="1">
      <alignment/>
      <protection/>
    </xf>
    <xf numFmtId="165" fontId="0" fillId="0" borderId="1" xfId="0" applyNumberFormat="1" applyFont="1" applyBorder="1" applyAlignment="1" applyProtection="1">
      <alignment/>
      <protection/>
    </xf>
    <xf numFmtId="164" fontId="0" fillId="0" borderId="2" xfId="15" applyNumberFormat="1" applyFont="1" applyBorder="1" applyAlignment="1" applyProtection="1">
      <alignment vertical="center" wrapText="1"/>
      <protection/>
    </xf>
    <xf numFmtId="167" fontId="0" fillId="0" borderId="0" xfId="19" applyNumberFormat="1" applyFont="1" applyAlignment="1" applyProtection="1">
      <alignment/>
      <protection/>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14" xfId="15" applyNumberFormat="1" applyFont="1" applyBorder="1" applyAlignment="1" applyProtection="1">
      <alignment horizontal="center"/>
      <protection/>
    </xf>
    <xf numFmtId="0" fontId="0" fillId="0" borderId="16" xfId="15" applyNumberFormat="1" applyFont="1" applyBorder="1" applyAlignment="1" applyProtection="1">
      <alignment horizontal="center"/>
      <protection/>
    </xf>
    <xf numFmtId="0" fontId="2" fillId="0" borderId="14" xfId="15" applyNumberFormat="1" applyFont="1" applyBorder="1" applyAlignment="1" applyProtection="1">
      <alignment horizontal="center"/>
      <protection/>
    </xf>
    <xf numFmtId="0" fontId="2" fillId="0" borderId="16" xfId="15" applyNumberFormat="1" applyFont="1" applyBorder="1" applyAlignment="1" applyProtection="1">
      <alignment horizontal="center"/>
      <protection/>
    </xf>
    <xf numFmtId="0" fontId="4"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6"/>
  <sheetViews>
    <sheetView tabSelected="1" workbookViewId="0" topLeftCell="A1">
      <selection activeCell="A1" sqref="A1"/>
    </sheetView>
  </sheetViews>
  <sheetFormatPr defaultColWidth="11.421875" defaultRowHeight="12.75"/>
  <cols>
    <col min="1" max="1" width="84.7109375" style="0" customWidth="1"/>
    <col min="2" max="4" width="8.7109375" style="0" customWidth="1"/>
  </cols>
  <sheetData>
    <row r="1" ht="12.75">
      <c r="A1" s="3" t="s">
        <v>4</v>
      </c>
    </row>
    <row r="2" ht="12.75">
      <c r="A2" s="3" t="s">
        <v>3</v>
      </c>
    </row>
    <row r="3" s="4" customFormat="1" ht="6.75" customHeight="1">
      <c r="A3"/>
    </row>
    <row r="4" ht="6.75" customHeight="1"/>
    <row r="5" ht="18">
      <c r="A5" s="5" t="s">
        <v>1</v>
      </c>
    </row>
    <row r="6" ht="18">
      <c r="A6" s="5" t="s">
        <v>2</v>
      </c>
    </row>
    <row r="7" ht="15.75">
      <c r="A7" s="6" t="s">
        <v>0</v>
      </c>
    </row>
    <row r="8" ht="12.75">
      <c r="A8" s="4"/>
    </row>
    <row r="9" s="4" customFormat="1" ht="12.75">
      <c r="A9" s="8" t="s">
        <v>5</v>
      </c>
    </row>
    <row r="10" s="4" customFormat="1" ht="12.75">
      <c r="A10" s="2"/>
    </row>
    <row r="11" ht="12.75">
      <c r="A11" s="1" t="s">
        <v>337</v>
      </c>
    </row>
    <row r="12" ht="15.75">
      <c r="A12" s="7" t="s">
        <v>338</v>
      </c>
    </row>
    <row r="13" ht="15.75">
      <c r="A13" s="7" t="s">
        <v>339</v>
      </c>
    </row>
    <row r="14" ht="19.5" customHeight="1">
      <c r="A14" s="9" t="s">
        <v>340</v>
      </c>
    </row>
    <row r="15" ht="9.75" customHeight="1">
      <c r="A15" s="206" t="s">
        <v>353</v>
      </c>
    </row>
    <row r="16" ht="15.75">
      <c r="A16" s="10">
        <v>2002</v>
      </c>
    </row>
  </sheetData>
  <sheetProtection sheet="1" objects="1" scenarios="1"/>
  <printOptions/>
  <pageMargins left="0.75" right="0.75" top="1" bottom="1"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11.421875" defaultRowHeight="12.75"/>
  <cols>
    <col min="1" max="1" width="9.7109375" style="0" customWidth="1"/>
    <col min="2" max="2" width="65.7109375" style="0" customWidth="1"/>
  </cols>
  <sheetData>
    <row r="1" ht="12.75">
      <c r="A1" s="36" t="str">
        <f>+VENTAS!A1</f>
        <v>AFIC - Ejercicio de Aplicación 1</v>
      </c>
    </row>
    <row r="2" ht="12.75">
      <c r="A2" s="36" t="str">
        <f>+VENTAS!A2</f>
        <v>SIDERAR S.A.</v>
      </c>
    </row>
    <row r="3" ht="12.75">
      <c r="B3" s="35" t="s">
        <v>319</v>
      </c>
    </row>
    <row r="4" ht="12.75">
      <c r="B4" s="29" t="s">
        <v>309</v>
      </c>
    </row>
    <row r="5" ht="12.75">
      <c r="B5" s="29"/>
    </row>
    <row r="6" ht="25.5">
      <c r="B6" s="29" t="s">
        <v>310</v>
      </c>
    </row>
    <row r="7" ht="13.5" thickBot="1"/>
    <row r="8" spans="1:2" ht="24.75" thickBot="1">
      <c r="A8" s="30" t="s">
        <v>304</v>
      </c>
      <c r="B8" s="31"/>
    </row>
  </sheetData>
  <sheetProtection sheet="1" objects="1" scenarios="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11.421875" defaultRowHeight="12.75"/>
  <cols>
    <col min="1" max="1" width="30.7109375" style="49" customWidth="1"/>
    <col min="2" max="5" width="8.7109375" style="49" customWidth="1"/>
    <col min="6" max="16384" width="11.421875" style="49" customWidth="1"/>
  </cols>
  <sheetData>
    <row r="1" spans="1:5" ht="12.75">
      <c r="A1" s="36" t="str">
        <f>+VENTAS!A1</f>
        <v>AFIC - Ejercicio de Aplicación 1</v>
      </c>
      <c r="B1" s="37"/>
      <c r="C1" s="37"/>
      <c r="D1" s="37"/>
      <c r="E1" s="37"/>
    </row>
    <row r="2" spans="1:5" ht="12.75">
      <c r="A2" s="36" t="str">
        <f>+VENTAS!A2</f>
        <v>SIDERAR S.A.</v>
      </c>
      <c r="B2" s="37"/>
      <c r="C2" s="37"/>
      <c r="D2" s="37"/>
      <c r="E2" s="37"/>
    </row>
    <row r="3" spans="1:5" ht="12.75">
      <c r="A3" s="37"/>
      <c r="B3" s="37"/>
      <c r="C3" s="37"/>
      <c r="D3" s="37"/>
      <c r="E3" s="37"/>
    </row>
    <row r="4" spans="1:5" ht="12.75">
      <c r="A4" s="38" t="s">
        <v>88</v>
      </c>
      <c r="B4" s="39"/>
      <c r="C4" s="39"/>
      <c r="D4" s="39"/>
      <c r="E4" s="39"/>
    </row>
    <row r="5" spans="1:5" ht="12.75">
      <c r="A5" s="40"/>
      <c r="B5" s="41">
        <v>1996</v>
      </c>
      <c r="C5" s="41">
        <v>1997</v>
      </c>
      <c r="D5" s="41">
        <v>1998</v>
      </c>
      <c r="E5" s="41">
        <v>1999</v>
      </c>
    </row>
    <row r="6" spans="1:5" ht="12.75">
      <c r="A6" s="42" t="s">
        <v>35</v>
      </c>
      <c r="B6" s="47"/>
      <c r="C6" s="47"/>
      <c r="D6" s="47"/>
      <c r="E6" s="47"/>
    </row>
    <row r="7" spans="1:5" ht="12.75">
      <c r="A7" s="42" t="s">
        <v>33</v>
      </c>
      <c r="B7" s="101">
        <f>+'EST PATR REORD'!B8/'EST PATR REORD'!B15</f>
        <v>0.14055320299126045</v>
      </c>
      <c r="C7" s="101">
        <f>+'EST PATR REORD'!C8/'EST PATR REORD'!C15</f>
        <v>0.13189012188466434</v>
      </c>
      <c r="D7" s="101">
        <f>+'EST PATR REORD'!D8/'EST PATR REORD'!D15</f>
        <v>0.1399795151928986</v>
      </c>
      <c r="E7" s="101">
        <f>+'EST PATR REORD'!E8/'EST PATR REORD'!E15</f>
        <v>0.143424317617866</v>
      </c>
    </row>
    <row r="8" spans="1:5" ht="12.75">
      <c r="A8" s="42" t="s">
        <v>31</v>
      </c>
      <c r="B8" s="101">
        <f>+'EST PATR REORD'!B10/'EST PATR REORD'!B15</f>
        <v>0.20389224254437335</v>
      </c>
      <c r="C8" s="101">
        <f>+'EST PATR REORD'!C10/'EST PATR REORD'!C15</f>
        <v>0.21693651082408585</v>
      </c>
      <c r="D8" s="101">
        <f>+'EST PATR REORD'!D10/'EST PATR REORD'!D15</f>
        <v>0.21620006828269037</v>
      </c>
      <c r="E8" s="101">
        <f>+'EST PATR REORD'!E10/'EST PATR REORD'!E15</f>
        <v>0.21298593879239042</v>
      </c>
    </row>
    <row r="9" spans="1:5" ht="12.75">
      <c r="A9" s="42" t="s">
        <v>28</v>
      </c>
      <c r="B9" s="101">
        <f>('EST PATR REORD'!B7+'EST PATR REORD'!B9)/'EST PATR REORD'!B15</f>
        <v>0.024416614109379224</v>
      </c>
      <c r="C9" s="101">
        <f>('EST PATR REORD'!C7+'EST PATR REORD'!C9)/'EST PATR REORD'!C15</f>
        <v>0.019465162816081495</v>
      </c>
      <c r="D9" s="101">
        <f>('EST PATR REORD'!D7+'EST PATR REORD'!D9)/'EST PATR REORD'!D15</f>
        <v>0.022106520996927278</v>
      </c>
      <c r="E9" s="101">
        <f>('EST PATR REORD'!E7+'EST PATR REORD'!E9)/'EST PATR REORD'!E15</f>
        <v>0.022084367245657568</v>
      </c>
    </row>
    <row r="10" spans="1:5" ht="12.75">
      <c r="A10" s="60" t="s">
        <v>64</v>
      </c>
      <c r="B10" s="102">
        <f>SUM(B7:B9)</f>
        <v>0.36886205964501306</v>
      </c>
      <c r="C10" s="102">
        <f>SUM(C7:C9)</f>
        <v>0.3682917955248317</v>
      </c>
      <c r="D10" s="102">
        <f>SUM(D7:D9)</f>
        <v>0.37828610447251626</v>
      </c>
      <c r="E10" s="102">
        <f>SUM(E7:E9)</f>
        <v>0.37849462365591396</v>
      </c>
    </row>
    <row r="11" spans="1:5" ht="12.75">
      <c r="A11" s="42" t="s">
        <v>29</v>
      </c>
      <c r="B11" s="101">
        <f>+'EST PATR REORD'!B12/'EST PATR REORD'!B15</f>
        <v>0.590593747184431</v>
      </c>
      <c r="C11" s="101">
        <f>+'EST PATR REORD'!C12/'EST PATR REORD'!C15</f>
        <v>0.5971438966709114</v>
      </c>
      <c r="D11" s="101">
        <f>+'EST PATR REORD'!D12/'EST PATR REORD'!D15</f>
        <v>0.5798907476954592</v>
      </c>
      <c r="E11" s="101">
        <f>+'EST PATR REORD'!E12/'EST PATR REORD'!E15</f>
        <v>0.5875930521091811</v>
      </c>
    </row>
    <row r="12" spans="1:5" ht="12.75">
      <c r="A12" s="42" t="s">
        <v>28</v>
      </c>
      <c r="B12" s="101">
        <f>+'EST PATR REORD'!B13/'EST PATR REORD'!B15</f>
        <v>0.0405441931705559</v>
      </c>
      <c r="C12" s="101">
        <f>+'EST PATR REORD'!C13/'EST PATR REORD'!C15</f>
        <v>0.034564307804256865</v>
      </c>
      <c r="D12" s="101">
        <f>+'EST PATR REORD'!D13/'EST PATR REORD'!D15</f>
        <v>0.041823147832024586</v>
      </c>
      <c r="E12" s="101">
        <f>+'EST PATR REORD'!E13/'EST PATR REORD'!E15</f>
        <v>0.03391232423490488</v>
      </c>
    </row>
    <row r="13" spans="1:5" ht="12.75">
      <c r="A13" s="60" t="s">
        <v>87</v>
      </c>
      <c r="B13" s="112">
        <f>SUM(B11:B12)</f>
        <v>0.6311379403549869</v>
      </c>
      <c r="C13" s="112">
        <f>SUM(C11:C12)</f>
        <v>0.6317082044751683</v>
      </c>
      <c r="D13" s="112">
        <f>SUM(D11:D12)</f>
        <v>0.6217138955274838</v>
      </c>
      <c r="E13" s="112">
        <f>SUM(E11:E12)</f>
        <v>0.621505376344086</v>
      </c>
    </row>
    <row r="14" spans="1:5" ht="12.75">
      <c r="A14" s="63" t="s">
        <v>62</v>
      </c>
      <c r="B14" s="113">
        <f>+B10+B13</f>
        <v>1</v>
      </c>
      <c r="C14" s="113">
        <f>+C10+C13</f>
        <v>1</v>
      </c>
      <c r="D14" s="113">
        <f>+D10+D13</f>
        <v>1</v>
      </c>
      <c r="E14" s="113">
        <f>+E10+E13</f>
        <v>1</v>
      </c>
    </row>
    <row r="15" spans="1:5" ht="12.75">
      <c r="A15" s="42" t="s">
        <v>25</v>
      </c>
      <c r="B15" s="47"/>
      <c r="C15" s="47"/>
      <c r="D15" s="47"/>
      <c r="E15" s="47"/>
    </row>
    <row r="16" spans="1:5" ht="12.75">
      <c r="A16" s="42" t="s">
        <v>24</v>
      </c>
      <c r="B16" s="101">
        <f>+'EST PATR REORD'!B17/'EST PATR REORD'!B15</f>
        <v>0.12190287413280476</v>
      </c>
      <c r="C16" s="101">
        <f>+'EST PATR REORD'!C17/'EST PATR REORD'!C15</f>
        <v>0.12679643441877386</v>
      </c>
      <c r="D16" s="101">
        <f>+'EST PATR REORD'!D17/'EST PATR REORD'!D15</f>
        <v>0.11428815295322638</v>
      </c>
      <c r="E16" s="101">
        <f>+'EST PATR REORD'!E17/'EST PATR REORD'!E15</f>
        <v>0.08602150537634409</v>
      </c>
    </row>
    <row r="17" spans="1:5" ht="12.75">
      <c r="A17" s="42" t="s">
        <v>21</v>
      </c>
      <c r="B17" s="101">
        <f>+B18-B16</f>
        <v>0.03333633660690152</v>
      </c>
      <c r="C17" s="101">
        <f>+C18-C16</f>
        <v>0.04184100418410042</v>
      </c>
      <c r="D17" s="101">
        <f>+D18-D16</f>
        <v>0.04523728234892453</v>
      </c>
      <c r="E17" s="101">
        <f>+E18-E16</f>
        <v>0.0380479735318445</v>
      </c>
    </row>
    <row r="18" spans="1:5" ht="12.75">
      <c r="A18" s="60" t="s">
        <v>61</v>
      </c>
      <c r="B18" s="102">
        <f>+'EST PATR REORD'!B21/'EST PATR REORD'!B15</f>
        <v>0.15523921073970628</v>
      </c>
      <c r="C18" s="102">
        <f>+'EST PATR REORD'!C21/'EST PATR REORD'!C15</f>
        <v>0.16863743860287428</v>
      </c>
      <c r="D18" s="102">
        <f>+'EST PATR REORD'!D21/'EST PATR REORD'!D15</f>
        <v>0.1595254353021509</v>
      </c>
      <c r="E18" s="102">
        <f>+'EST PATR REORD'!E21/'EST PATR REORD'!E15</f>
        <v>0.12406947890818859</v>
      </c>
    </row>
    <row r="19" spans="1:5" ht="12.75">
      <c r="A19" s="60" t="s">
        <v>60</v>
      </c>
      <c r="B19" s="102">
        <f>+'EST PATR REORD'!B24/'EST PATR REORD'!B15</f>
        <v>0.022074060726191547</v>
      </c>
      <c r="C19" s="102">
        <f>+'EST PATR REORD'!C24/'EST PATR REORD'!C15</f>
        <v>0.023558304529743498</v>
      </c>
      <c r="D19" s="102">
        <f>+'EST PATR REORD'!D24/'EST PATR REORD'!D15</f>
        <v>0.0200580402867873</v>
      </c>
      <c r="E19" s="102">
        <f>+'EST PATR REORD'!E24/'EST PATR REORD'!E15</f>
        <v>0.015136476426799009</v>
      </c>
    </row>
    <row r="20" spans="1:5" ht="12.75">
      <c r="A20" s="60" t="s">
        <v>59</v>
      </c>
      <c r="B20" s="102">
        <f>+B18+B19</f>
        <v>0.17731327146589784</v>
      </c>
      <c r="C20" s="102">
        <f>+C18+C19</f>
        <v>0.19219574313261778</v>
      </c>
      <c r="D20" s="102">
        <f>+D18+D19</f>
        <v>0.17958347558893822</v>
      </c>
      <c r="E20" s="102">
        <f>+E18+E19</f>
        <v>0.13920595533498759</v>
      </c>
    </row>
    <row r="21" spans="1:5" ht="12.75">
      <c r="A21" s="42" t="s">
        <v>58</v>
      </c>
      <c r="B21" s="101">
        <f>+'EST PATR REORD'!B27/'EST PATR REORD'!B15</f>
        <v>0.17533111091089285</v>
      </c>
      <c r="C21" s="101">
        <f>+'EST PATR REORD'!C27/'EST PATR REORD'!C15</f>
        <v>0.06585410223758413</v>
      </c>
      <c r="D21" s="101">
        <f>+'EST PATR REORD'!D27/'EST PATR REORD'!D15</f>
        <v>0.042335268009559585</v>
      </c>
      <c r="E21" s="101">
        <f>+'EST PATR REORD'!E27/'EST PATR REORD'!E15</f>
        <v>0.08535980148883375</v>
      </c>
    </row>
    <row r="22" spans="1:5" ht="12.75">
      <c r="A22" s="42" t="s">
        <v>57</v>
      </c>
      <c r="B22" s="101">
        <f>+'EST PATR REORD'!B28/'EST PATR REORD'!B15</f>
        <v>0.16298765654563474</v>
      </c>
      <c r="C22" s="101">
        <f>+'EST PATR REORD'!C28/'EST PATR REORD'!C15</f>
        <v>0.18537384027651446</v>
      </c>
      <c r="D22" s="101">
        <f>+'EST PATR REORD'!D28/'EST PATR REORD'!D15</f>
        <v>0.17932741550017073</v>
      </c>
      <c r="E22" s="101">
        <f>+'EST PATR REORD'!E28/'EST PATR REORD'!E15</f>
        <v>0.17973531844499588</v>
      </c>
    </row>
    <row r="23" spans="1:5" ht="12.75">
      <c r="A23" s="60" t="s">
        <v>56</v>
      </c>
      <c r="B23" s="103">
        <f>SUM(B21:B22)</f>
        <v>0.33831876745652756</v>
      </c>
      <c r="C23" s="103">
        <f>SUM(C21:C22)</f>
        <v>0.2512279425140986</v>
      </c>
      <c r="D23" s="103">
        <f>SUM(D21:D22)</f>
        <v>0.2216626835097303</v>
      </c>
      <c r="E23" s="103">
        <f>SUM(E21:E22)</f>
        <v>0.2650951199338296</v>
      </c>
    </row>
    <row r="24" spans="1:5" ht="12.75">
      <c r="A24" s="63" t="s">
        <v>15</v>
      </c>
      <c r="B24" s="113">
        <f>+B20+B23</f>
        <v>0.5156320389224254</v>
      </c>
      <c r="C24" s="113">
        <f>+C20+C23</f>
        <v>0.44342368564671636</v>
      </c>
      <c r="D24" s="113">
        <f>+D20+D23</f>
        <v>0.40124615909866856</v>
      </c>
      <c r="E24" s="113">
        <f>+E20+E23</f>
        <v>0.4043010752688172</v>
      </c>
    </row>
    <row r="25" spans="1:5" ht="12.75">
      <c r="A25" s="65" t="s">
        <v>14</v>
      </c>
      <c r="B25" s="114">
        <f>+'EST PATR REORD'!B31/'EST PATR REORD'!B15</f>
        <v>0.4843679610775745</v>
      </c>
      <c r="C25" s="114">
        <f>+'EST PATR REORD'!C31/'EST PATR REORD'!C15</f>
        <v>0.5565763143532836</v>
      </c>
      <c r="D25" s="114">
        <f>+'EST PATR REORD'!D31/'EST PATR REORD'!D15</f>
        <v>0.5987538409013315</v>
      </c>
      <c r="E25" s="114">
        <f>+'EST PATR REORD'!E31/'EST PATR REORD'!E15</f>
        <v>0.5956989247311828</v>
      </c>
    </row>
  </sheetData>
  <sheetProtection sheet="1" objects="1" scenarios="1"/>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9.7109375" style="0" customWidth="1"/>
    <col min="2" max="2" width="65.7109375" style="0" customWidth="1"/>
  </cols>
  <sheetData>
    <row r="1" ht="12.75">
      <c r="A1" s="36" t="str">
        <f>+VENTAS!A1</f>
        <v>AFIC - Ejercicio de Aplicación 1</v>
      </c>
    </row>
    <row r="2" ht="12.75">
      <c r="A2" s="36" t="str">
        <f>+VENTAS!A2</f>
        <v>SIDERAR S.A.</v>
      </c>
    </row>
    <row r="3" ht="12.75">
      <c r="B3" s="35" t="s">
        <v>321</v>
      </c>
    </row>
    <row r="4" ht="12.75">
      <c r="B4" s="29" t="s">
        <v>311</v>
      </c>
    </row>
    <row r="5" ht="12.75">
      <c r="B5" s="29"/>
    </row>
    <row r="6" ht="25.5">
      <c r="B6" s="29" t="s">
        <v>312</v>
      </c>
    </row>
    <row r="7" ht="13.5" thickBot="1"/>
    <row r="8" spans="1:2" ht="24.75" thickBot="1">
      <c r="A8" s="30" t="s">
        <v>304</v>
      </c>
      <c r="B8" s="31"/>
    </row>
    <row r="10" ht="51">
      <c r="B10" s="29" t="s">
        <v>313</v>
      </c>
    </row>
    <row r="11" ht="13.5" thickBot="1"/>
    <row r="12" spans="1:2" ht="24.75" thickBot="1">
      <c r="A12" s="30" t="s">
        <v>304</v>
      </c>
      <c r="B12" s="31"/>
    </row>
  </sheetData>
  <sheetProtection sheet="1" objects="1" scenarios="1"/>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dimension ref="A1:E11"/>
  <sheetViews>
    <sheetView workbookViewId="0" topLeftCell="A1">
      <selection activeCell="A1" sqref="A1"/>
    </sheetView>
  </sheetViews>
  <sheetFormatPr defaultColWidth="11.421875" defaultRowHeight="12.75"/>
  <cols>
    <col min="1" max="1" width="30.7109375" style="49" customWidth="1"/>
    <col min="2" max="5" width="8.7109375" style="49" customWidth="1"/>
    <col min="6" max="16384" width="11.421875" style="49" customWidth="1"/>
  </cols>
  <sheetData>
    <row r="1" spans="1:4" ht="12.75">
      <c r="A1" s="36" t="str">
        <f>+VENTAS!A1</f>
        <v>AFIC - Ejercicio de Aplicación 1</v>
      </c>
      <c r="B1" s="37"/>
      <c r="C1" s="37"/>
      <c r="D1" s="37"/>
    </row>
    <row r="2" spans="1:4" ht="12.75">
      <c r="A2" s="36" t="str">
        <f>+VENTAS!A2</f>
        <v>SIDERAR S.A.</v>
      </c>
      <c r="B2" s="37"/>
      <c r="C2" s="37"/>
      <c r="D2" s="37"/>
    </row>
    <row r="3" spans="1:5" ht="12.75">
      <c r="A3" s="37"/>
      <c r="B3" s="37"/>
      <c r="C3" s="37"/>
      <c r="D3" s="37"/>
      <c r="E3" s="73" t="s">
        <v>305</v>
      </c>
    </row>
    <row r="4" spans="1:5" ht="12.75">
      <c r="A4" s="38" t="s">
        <v>116</v>
      </c>
      <c r="B4" s="39"/>
      <c r="C4" s="39"/>
      <c r="D4" s="39"/>
      <c r="E4" s="50"/>
    </row>
    <row r="5" spans="1:5" ht="12.75">
      <c r="A5" s="79"/>
      <c r="B5" s="41">
        <v>1996</v>
      </c>
      <c r="C5" s="41">
        <v>1997</v>
      </c>
      <c r="D5" s="41">
        <v>1998</v>
      </c>
      <c r="E5" s="51">
        <v>1999</v>
      </c>
    </row>
    <row r="6" spans="1:5" ht="12.75">
      <c r="A6" s="42" t="s">
        <v>77</v>
      </c>
      <c r="B6" s="47">
        <f>+'EST RESULT REORD'!B39</f>
        <v>85.21600000000012</v>
      </c>
      <c r="C6" s="47">
        <f>+'EST RESULT REORD'!C39</f>
        <v>114.07499999999996</v>
      </c>
      <c r="D6" s="47">
        <f>+'EST RESULT REORD'!D39</f>
        <v>136.695</v>
      </c>
      <c r="E6" s="56"/>
    </row>
    <row r="7" spans="1:5" ht="12.75">
      <c r="A7" s="42" t="s">
        <v>80</v>
      </c>
      <c r="B7" s="47">
        <f>+'EST PATR REORD'!B15-'EST PATR REORD'!B25</f>
        <v>913.1000000000001</v>
      </c>
      <c r="C7" s="47">
        <f>+'EST PATR REORD'!C15-'EST PATR REORD'!C25</f>
        <v>888.1000000000001</v>
      </c>
      <c r="D7" s="47">
        <f>+'EST PATR REORD'!D15-'EST PATR REORD'!D25</f>
        <v>961.1999999999999</v>
      </c>
      <c r="E7" s="56"/>
    </row>
    <row r="8" spans="1:5" ht="12.75">
      <c r="A8" s="42" t="s">
        <v>115</v>
      </c>
      <c r="B8" s="47"/>
      <c r="C8" s="47">
        <f>(B7+C7)/2</f>
        <v>900.6000000000001</v>
      </c>
      <c r="D8" s="47">
        <f>(C7+D7)/2</f>
        <v>924.6500000000001</v>
      </c>
      <c r="E8" s="56"/>
    </row>
    <row r="9" spans="1:5" ht="12.75">
      <c r="A9" s="42" t="s">
        <v>114</v>
      </c>
      <c r="B9" s="47"/>
      <c r="C9" s="47"/>
      <c r="D9" s="47"/>
      <c r="E9" s="56"/>
    </row>
    <row r="10" spans="1:5" ht="12.75">
      <c r="A10" s="42" t="s">
        <v>113</v>
      </c>
      <c r="B10" s="101">
        <f>+B6/B7</f>
        <v>0.0933260321980069</v>
      </c>
      <c r="C10" s="101">
        <f>+C6/C7</f>
        <v>0.1284483729309762</v>
      </c>
      <c r="D10" s="101">
        <f>+D6/D7</f>
        <v>0.14221285892634208</v>
      </c>
      <c r="E10" s="91"/>
    </row>
    <row r="11" spans="1:5" ht="12.75">
      <c r="A11" s="45" t="s">
        <v>112</v>
      </c>
      <c r="B11" s="45"/>
      <c r="C11" s="110">
        <f>+C6/C8</f>
        <v>0.12666555629580273</v>
      </c>
      <c r="D11" s="110">
        <f>+D6/D8</f>
        <v>0.1478343156870167</v>
      </c>
      <c r="E11" s="93"/>
    </row>
  </sheetData>
  <sheetProtection sheet="1" objects="1" scenarios="1"/>
  <printOptions/>
  <pageMargins left="0.75" right="0.75" top="1" bottom="1" header="0" footer="0"/>
  <pageSetup orientation="portrait" paperSize="9"/>
</worksheet>
</file>

<file path=xl/worksheets/sheet14.xml><?xml version="1.0" encoding="utf-8"?>
<worksheet xmlns="http://schemas.openxmlformats.org/spreadsheetml/2006/main" xmlns:r="http://schemas.openxmlformats.org/officeDocument/2006/relationships">
  <dimension ref="A1:E34"/>
  <sheetViews>
    <sheetView workbookViewId="0" topLeftCell="A1">
      <selection activeCell="A1" sqref="A1"/>
    </sheetView>
  </sheetViews>
  <sheetFormatPr defaultColWidth="11.421875" defaultRowHeight="12.75"/>
  <cols>
    <col min="1" max="1" width="30.7109375" style="49" customWidth="1"/>
    <col min="2" max="5" width="8.7109375" style="49" customWidth="1"/>
    <col min="6" max="16384" width="11.421875" style="49" customWidth="1"/>
  </cols>
  <sheetData>
    <row r="1" spans="1:4" ht="12.75">
      <c r="A1" s="36" t="str">
        <f>+VENTAS!A1</f>
        <v>AFIC - Ejercicio de Aplicación 1</v>
      </c>
      <c r="B1" s="37"/>
      <c r="C1" s="37"/>
      <c r="D1" s="37"/>
    </row>
    <row r="2" spans="1:4" ht="12.75">
      <c r="A2" s="36" t="str">
        <f>+VENTAS!A2</f>
        <v>SIDERAR S.A.</v>
      </c>
      <c r="B2" s="37"/>
      <c r="C2" s="37"/>
      <c r="D2" s="37"/>
    </row>
    <row r="3" spans="1:5" ht="12.75">
      <c r="A3" s="37"/>
      <c r="B3" s="37"/>
      <c r="C3" s="37"/>
      <c r="D3" s="37"/>
      <c r="E3" s="73" t="s">
        <v>305</v>
      </c>
    </row>
    <row r="4" spans="1:5" ht="12.75">
      <c r="A4" s="38" t="s">
        <v>132</v>
      </c>
      <c r="B4" s="39"/>
      <c r="C4" s="39"/>
      <c r="D4" s="39"/>
      <c r="E4" s="50"/>
    </row>
    <row r="5" spans="1:5" ht="12.75">
      <c r="A5" s="79"/>
      <c r="B5" s="41">
        <v>1996</v>
      </c>
      <c r="C5" s="41">
        <v>1997</v>
      </c>
      <c r="D5" s="41">
        <v>1998</v>
      </c>
      <c r="E5" s="51">
        <v>1999</v>
      </c>
    </row>
    <row r="6" spans="1:5" ht="12.75">
      <c r="A6" s="42" t="s">
        <v>131</v>
      </c>
      <c r="B6" s="96">
        <f>+VENTAS!B13</f>
        <v>938.7</v>
      </c>
      <c r="C6" s="96">
        <f>+VENTAS!C13</f>
        <v>1011.9</v>
      </c>
      <c r="D6" s="96">
        <f>+VENTAS!D13</f>
        <v>1176.5</v>
      </c>
      <c r="E6" s="87"/>
    </row>
    <row r="7" spans="1:5" ht="12.75">
      <c r="A7" s="42" t="s">
        <v>80</v>
      </c>
      <c r="B7" s="120">
        <f>+'RENDIM OPERAT'!B7</f>
        <v>913.1000000000001</v>
      </c>
      <c r="C7" s="120">
        <f>+'RENDIM OPERAT'!C7</f>
        <v>888.1000000000001</v>
      </c>
      <c r="D7" s="120">
        <f>+'RENDIM OPERAT'!D7</f>
        <v>961.1999999999999</v>
      </c>
      <c r="E7" s="115"/>
    </row>
    <row r="8" spans="1:5" ht="12.75">
      <c r="A8" s="42" t="s">
        <v>115</v>
      </c>
      <c r="B8" s="121"/>
      <c r="C8" s="120">
        <f>+'RENDIM OPERAT'!C8</f>
        <v>900.6000000000001</v>
      </c>
      <c r="D8" s="120">
        <f>+'RENDIM OPERAT'!D8</f>
        <v>924.6500000000001</v>
      </c>
      <c r="E8" s="115"/>
    </row>
    <row r="9" spans="1:5" ht="12.75">
      <c r="A9" s="42" t="s">
        <v>130</v>
      </c>
      <c r="B9" s="42"/>
      <c r="C9" s="42"/>
      <c r="D9" s="42"/>
      <c r="E9" s="52"/>
    </row>
    <row r="10" spans="1:5" ht="12.75">
      <c r="A10" s="42" t="s">
        <v>113</v>
      </c>
      <c r="B10" s="111">
        <f>+'EST RESULT'!B6/'RENDIM OPERAT'!B7</f>
        <v>1.0280363596539261</v>
      </c>
      <c r="C10" s="111">
        <f>+'EST RESULT'!C6/'RENDIM OPERAT'!C7</f>
        <v>1.13939871636077</v>
      </c>
      <c r="D10" s="111">
        <f>+'EST RESULT'!D6/'RENDIM OPERAT'!D7</f>
        <v>1.2239908447773618</v>
      </c>
      <c r="E10" s="94"/>
    </row>
    <row r="11" spans="1:5" ht="12.75">
      <c r="A11" s="45" t="s">
        <v>112</v>
      </c>
      <c r="B11" s="45"/>
      <c r="C11" s="109">
        <f>+'EST RESULT'!C6/'RENDIM OPERAT'!C8</f>
        <v>1.1235842771485673</v>
      </c>
      <c r="D11" s="109">
        <f>+'EST RESULT'!D6/'RENDIM OPERAT'!D8</f>
        <v>1.2723733304493592</v>
      </c>
      <c r="E11" s="92"/>
    </row>
    <row r="12" spans="1:5" ht="12.75">
      <c r="A12" s="42" t="s">
        <v>85</v>
      </c>
      <c r="B12" s="47">
        <f>+'EST PATR REORD'!B11</f>
        <v>409.4</v>
      </c>
      <c r="C12" s="47">
        <f>+'EST PATR REORD'!C11</f>
        <v>404.9</v>
      </c>
      <c r="D12" s="47">
        <f>+'EST PATR REORD'!D11</f>
        <v>443.20000000000005</v>
      </c>
      <c r="E12" s="56"/>
    </row>
    <row r="13" spans="1:5" ht="12.75">
      <c r="A13" s="42" t="s">
        <v>129</v>
      </c>
      <c r="B13" s="47">
        <f>+'RESUMEN EST CONT'!B9+'RESUMEN EST CONT'!B10</f>
        <v>176.3</v>
      </c>
      <c r="C13" s="47">
        <f>+'RESUMEN EST CONT'!C9+'RESUMEN EST CONT'!C10</f>
        <v>189.20000000000002</v>
      </c>
      <c r="D13" s="47">
        <f>+'RESUMEN EST CONT'!D9+'RESUMEN EST CONT'!D10</f>
        <v>191.99999999999997</v>
      </c>
      <c r="E13" s="56"/>
    </row>
    <row r="14" spans="1:5" ht="12.75">
      <c r="A14" s="42" t="s">
        <v>128</v>
      </c>
      <c r="B14" s="47">
        <f>+B12-B13</f>
        <v>233.09999999999997</v>
      </c>
      <c r="C14" s="47">
        <f>+C12-C13</f>
        <v>215.69999999999996</v>
      </c>
      <c r="D14" s="47">
        <f>+D12-D13</f>
        <v>251.20000000000007</v>
      </c>
      <c r="E14" s="56"/>
    </row>
    <row r="15" spans="1:5" ht="12.75">
      <c r="A15" s="42" t="s">
        <v>127</v>
      </c>
      <c r="B15" s="47"/>
      <c r="C15" s="47">
        <f>(B14+C14)/2</f>
        <v>224.39999999999998</v>
      </c>
      <c r="D15" s="47">
        <f>(C14+D14)/2</f>
        <v>233.45000000000002</v>
      </c>
      <c r="E15" s="56"/>
    </row>
    <row r="16" spans="1:5" ht="12.75">
      <c r="A16" s="42" t="s">
        <v>126</v>
      </c>
      <c r="B16" s="47"/>
      <c r="C16" s="47"/>
      <c r="D16" s="47"/>
      <c r="E16" s="56"/>
    </row>
    <row r="17" spans="1:5" ht="12.75">
      <c r="A17" s="42" t="s">
        <v>113</v>
      </c>
      <c r="B17" s="111">
        <f>+'EST RESULT'!B6/ROTACION!B14</f>
        <v>4.027027027027028</v>
      </c>
      <c r="C17" s="111">
        <f>+'EST RESULT'!C6/ROTACION!C14</f>
        <v>4.691237830319889</v>
      </c>
      <c r="D17" s="111">
        <f>+'EST RESULT'!D6/ROTACION!D14</f>
        <v>4.683519108280254</v>
      </c>
      <c r="E17" s="94"/>
    </row>
    <row r="18" spans="1:5" ht="12.75">
      <c r="A18" s="45" t="s">
        <v>112</v>
      </c>
      <c r="B18" s="45"/>
      <c r="C18" s="109">
        <f>+'EST RESULT'!C6/ROTACION!C15</f>
        <v>4.509358288770054</v>
      </c>
      <c r="D18" s="109">
        <f>+'EST RESULT'!D6/ROTACION!D15</f>
        <v>5.039623045620047</v>
      </c>
      <c r="E18" s="92"/>
    </row>
    <row r="19" spans="1:5" ht="12.75">
      <c r="A19" s="42" t="s">
        <v>84</v>
      </c>
      <c r="B19" s="47">
        <f>+'EST PATR REORD'!B14</f>
        <v>700.5</v>
      </c>
      <c r="C19" s="47">
        <f>+'EST PATR REORD'!C14</f>
        <v>694.5</v>
      </c>
      <c r="D19" s="47">
        <f>+'EST PATR REORD'!D14</f>
        <v>728.4</v>
      </c>
      <c r="E19" s="56"/>
    </row>
    <row r="20" spans="1:5" ht="12.75">
      <c r="A20" s="42" t="s">
        <v>81</v>
      </c>
      <c r="B20" s="47">
        <f>+'RESUMEN EST CONT'!B11</f>
        <v>20.5</v>
      </c>
      <c r="C20" s="47">
        <f>+'RESUMEN EST CONT'!C11</f>
        <v>22.1</v>
      </c>
      <c r="D20" s="47">
        <f>+'RESUMEN EST CONT'!D11</f>
        <v>18.4</v>
      </c>
      <c r="E20" s="56"/>
    </row>
    <row r="21" spans="1:5" ht="12.75">
      <c r="A21" s="42" t="s">
        <v>125</v>
      </c>
      <c r="B21" s="47">
        <f>+B19-B20</f>
        <v>680</v>
      </c>
      <c r="C21" s="47">
        <f>+C19-C20</f>
        <v>672.4</v>
      </c>
      <c r="D21" s="47">
        <f>+D19-D20</f>
        <v>710</v>
      </c>
      <c r="E21" s="56"/>
    </row>
    <row r="22" spans="1:5" ht="12.75">
      <c r="A22" s="42" t="s">
        <v>124</v>
      </c>
      <c r="B22" s="47"/>
      <c r="C22" s="47">
        <f>(B21+C21)/2</f>
        <v>676.2</v>
      </c>
      <c r="D22" s="47">
        <f>(C21+D21)/2</f>
        <v>691.2</v>
      </c>
      <c r="E22" s="56"/>
    </row>
    <row r="23" spans="1:5" ht="12.75">
      <c r="A23" s="42" t="s">
        <v>123</v>
      </c>
      <c r="B23" s="47"/>
      <c r="C23" s="47"/>
      <c r="D23" s="47"/>
      <c r="E23" s="56"/>
    </row>
    <row r="24" spans="1:5" ht="12.75">
      <c r="A24" s="42" t="s">
        <v>113</v>
      </c>
      <c r="B24" s="111">
        <f>+'EST RESULT'!B6/ROTACION!B21</f>
        <v>1.3804411764705884</v>
      </c>
      <c r="C24" s="111">
        <f>+'EST RESULT'!C6/ROTACION!C21</f>
        <v>1.504907792980369</v>
      </c>
      <c r="D24" s="111">
        <f>+'EST RESULT'!D6/ROTACION!D21</f>
        <v>1.6570422535211267</v>
      </c>
      <c r="E24" s="94"/>
    </row>
    <row r="25" spans="1:5" ht="12.75">
      <c r="A25" s="45" t="s">
        <v>112</v>
      </c>
      <c r="B25" s="45"/>
      <c r="C25" s="109">
        <f>+'EST RESULT'!C6/ROTACION!C22</f>
        <v>1.4964507542147292</v>
      </c>
      <c r="D25" s="109">
        <f>+'EST RESULT'!D6/ROTACION!D22</f>
        <v>1.7021122685185184</v>
      </c>
      <c r="E25" s="92"/>
    </row>
    <row r="26" spans="1:5" ht="12.75">
      <c r="A26" s="46"/>
      <c r="B26" s="46"/>
      <c r="C26" s="122"/>
      <c r="D26" s="122"/>
      <c r="E26" s="116"/>
    </row>
    <row r="27" spans="1:5" ht="12.75">
      <c r="A27" s="79" t="s">
        <v>122</v>
      </c>
      <c r="B27" s="79"/>
      <c r="C27" s="79"/>
      <c r="D27" s="79"/>
      <c r="E27" s="74"/>
    </row>
    <row r="28" spans="1:5" ht="12.75">
      <c r="A28" s="42" t="s">
        <v>121</v>
      </c>
      <c r="B28" s="123">
        <f>1/B17</f>
        <v>0.24832214765100666</v>
      </c>
      <c r="C28" s="123">
        <f>1/C17</f>
        <v>0.21316335606285203</v>
      </c>
      <c r="D28" s="123">
        <f>1/D17</f>
        <v>0.21351466213344672</v>
      </c>
      <c r="E28" s="117"/>
    </row>
    <row r="29" spans="1:5" ht="12.75">
      <c r="A29" s="42" t="s">
        <v>118</v>
      </c>
      <c r="B29" s="123">
        <f>1/B24</f>
        <v>0.7244060935336102</v>
      </c>
      <c r="C29" s="123">
        <f>1/C24</f>
        <v>0.6644925387884177</v>
      </c>
      <c r="D29" s="123">
        <f>1/D24</f>
        <v>0.6034849128771781</v>
      </c>
      <c r="E29" s="117"/>
    </row>
    <row r="30" spans="1:5" ht="12.75">
      <c r="A30" s="45" t="s">
        <v>117</v>
      </c>
      <c r="B30" s="124">
        <f>+B28+B29</f>
        <v>0.9727282411846169</v>
      </c>
      <c r="C30" s="124">
        <f>+C28+C29</f>
        <v>0.8776558948512698</v>
      </c>
      <c r="D30" s="124">
        <f>+D28+D29</f>
        <v>0.8169995750106248</v>
      </c>
      <c r="E30" s="118"/>
    </row>
    <row r="31" spans="1:5" ht="12.75">
      <c r="A31" s="42" t="s">
        <v>120</v>
      </c>
      <c r="B31" s="125"/>
      <c r="C31" s="125"/>
      <c r="D31" s="125"/>
      <c r="E31" s="119"/>
    </row>
    <row r="32" spans="1:5" ht="12.75">
      <c r="A32" s="42" t="s">
        <v>119</v>
      </c>
      <c r="B32" s="125"/>
      <c r="C32" s="123">
        <f>1/C18</f>
        <v>0.22176104358138155</v>
      </c>
      <c r="D32" s="123">
        <f>1/D18</f>
        <v>0.19842753931151721</v>
      </c>
      <c r="E32" s="117"/>
    </row>
    <row r="33" spans="1:5" ht="12.75">
      <c r="A33" s="42" t="s">
        <v>118</v>
      </c>
      <c r="B33" s="125"/>
      <c r="C33" s="123">
        <f>1/C25</f>
        <v>0.6682478505781204</v>
      </c>
      <c r="D33" s="123">
        <f>1/D25</f>
        <v>0.5875053123671908</v>
      </c>
      <c r="E33" s="117"/>
    </row>
    <row r="34" spans="1:5" ht="12.75">
      <c r="A34" s="45" t="s">
        <v>117</v>
      </c>
      <c r="B34" s="126"/>
      <c r="C34" s="124">
        <f>+C32+C33</f>
        <v>0.8900088941595019</v>
      </c>
      <c r="D34" s="124">
        <f>+D32+D33</f>
        <v>0.7859328516787081</v>
      </c>
      <c r="E34" s="118"/>
    </row>
  </sheetData>
  <sheetProtection sheet="1" objects="1" scenarios="1"/>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dimension ref="A1:E10"/>
  <sheetViews>
    <sheetView workbookViewId="0" topLeftCell="A1">
      <selection activeCell="A1" sqref="A1"/>
    </sheetView>
  </sheetViews>
  <sheetFormatPr defaultColWidth="11.421875" defaultRowHeight="12.75"/>
  <cols>
    <col min="1" max="1" width="35.7109375" style="49" customWidth="1"/>
    <col min="2" max="5" width="8.7109375" style="49" customWidth="1"/>
    <col min="6" max="16384" width="11.421875" style="49" customWidth="1"/>
  </cols>
  <sheetData>
    <row r="1" spans="1:5" ht="12.75">
      <c r="A1" s="36" t="str">
        <f>+VENTAS!A1</f>
        <v>AFIC - Ejercicio de Aplicación 1</v>
      </c>
      <c r="B1" s="37"/>
      <c r="C1" s="37"/>
      <c r="D1" s="37"/>
      <c r="E1" s="37"/>
    </row>
    <row r="2" spans="1:5" ht="12.75">
      <c r="A2" s="36" t="str">
        <f>+VENTAS!A2</f>
        <v>SIDERAR S.A.</v>
      </c>
      <c r="B2" s="37"/>
      <c r="C2" s="37"/>
      <c r="D2" s="37"/>
      <c r="E2" s="37"/>
    </row>
    <row r="3" spans="1:5" ht="12.75">
      <c r="A3" s="37"/>
      <c r="B3" s="37"/>
      <c r="C3" s="37"/>
      <c r="D3" s="37"/>
      <c r="E3" s="37"/>
    </row>
    <row r="4" spans="1:5" ht="12.75">
      <c r="A4" s="38" t="s">
        <v>135</v>
      </c>
      <c r="B4" s="39"/>
      <c r="C4" s="39"/>
      <c r="D4" s="39"/>
      <c r="E4" s="39"/>
    </row>
    <row r="5" spans="1:5" ht="12.75">
      <c r="A5" s="79"/>
      <c r="B5" s="41">
        <v>1996</v>
      </c>
      <c r="C5" s="41">
        <v>1997</v>
      </c>
      <c r="D5" s="41">
        <v>1998</v>
      </c>
      <c r="E5" s="41">
        <v>1999</v>
      </c>
    </row>
    <row r="6" spans="1:5" ht="12.75">
      <c r="A6" s="42" t="s">
        <v>109</v>
      </c>
      <c r="B6" s="101">
        <f>+MARGEN!B10</f>
        <v>0.0907808671567062</v>
      </c>
      <c r="C6" s="101">
        <f>+MARGEN!C10</f>
        <v>0.11273347168692555</v>
      </c>
      <c r="D6" s="101">
        <f>+MARGEN!D10</f>
        <v>0.1161878453038674</v>
      </c>
      <c r="E6" s="101">
        <v>0.077</v>
      </c>
    </row>
    <row r="7" spans="1:5" ht="12.75">
      <c r="A7" s="42" t="s">
        <v>134</v>
      </c>
      <c r="B7" s="123">
        <f>+ROTACION!B10</f>
        <v>1.0280363596539261</v>
      </c>
      <c r="C7" s="123">
        <f>+ROTACION!C10</f>
        <v>1.13939871636077</v>
      </c>
      <c r="D7" s="123">
        <f>+ROTACION!D10</f>
        <v>1.2239908447773618</v>
      </c>
      <c r="E7" s="123">
        <v>0.95</v>
      </c>
    </row>
    <row r="8" spans="1:5" ht="12.75">
      <c r="A8" s="45" t="s">
        <v>114</v>
      </c>
      <c r="B8" s="110">
        <f>+B6*B7</f>
        <v>0.0933260321980069</v>
      </c>
      <c r="C8" s="110">
        <f>+C6*C7</f>
        <v>0.12844837293097616</v>
      </c>
      <c r="D8" s="110">
        <f>+D6*D7</f>
        <v>0.14221285892634208</v>
      </c>
      <c r="E8" s="110">
        <f>+E6*E7</f>
        <v>0.07314999999999999</v>
      </c>
    </row>
    <row r="9" spans="1:5" ht="12.75">
      <c r="A9" s="42" t="s">
        <v>133</v>
      </c>
      <c r="B9" s="42"/>
      <c r="C9" s="111">
        <f>+ROTACION!C11</f>
        <v>1.1235842771485673</v>
      </c>
      <c r="D9" s="111">
        <f>+ROTACION!D11</f>
        <v>1.2723733304493592</v>
      </c>
      <c r="E9" s="111">
        <v>0.983</v>
      </c>
    </row>
    <row r="10" spans="1:5" ht="12.75">
      <c r="A10" s="45" t="s">
        <v>114</v>
      </c>
      <c r="B10" s="45"/>
      <c r="C10" s="110">
        <f>+C6*C9</f>
        <v>0.12666555629580273</v>
      </c>
      <c r="D10" s="110">
        <f>+D6*D9</f>
        <v>0.14783431568701672</v>
      </c>
      <c r="E10" s="110">
        <f>+E6*E9</f>
        <v>0.075691</v>
      </c>
    </row>
  </sheetData>
  <sheetProtection sheet="1" objects="1" scenarios="1"/>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9.7109375" style="0" customWidth="1"/>
    <col min="2" max="2" width="65.7109375" style="0" customWidth="1"/>
  </cols>
  <sheetData>
    <row r="1" ht="12.75">
      <c r="A1" s="36" t="str">
        <f>+VENTAS!A1</f>
        <v>AFIC - Ejercicio de Aplicación 1</v>
      </c>
    </row>
    <row r="2" ht="12.75">
      <c r="A2" s="36" t="str">
        <f>+VENTAS!A2</f>
        <v>SIDERAR S.A.</v>
      </c>
    </row>
    <row r="3" ht="12.75">
      <c r="B3" s="35" t="s">
        <v>322</v>
      </c>
    </row>
    <row r="4" ht="12.75">
      <c r="B4" s="29" t="s">
        <v>314</v>
      </c>
    </row>
    <row r="5" ht="12.75">
      <c r="B5" s="29"/>
    </row>
    <row r="6" ht="25.5">
      <c r="B6" s="29" t="s">
        <v>315</v>
      </c>
    </row>
    <row r="7" ht="13.5" thickBot="1"/>
    <row r="8" spans="1:2" ht="24.75" thickBot="1">
      <c r="A8" s="30" t="s">
        <v>304</v>
      </c>
      <c r="B8" s="31"/>
    </row>
    <row r="10" ht="25.5">
      <c r="B10" s="29" t="s">
        <v>316</v>
      </c>
    </row>
    <row r="11" ht="13.5" thickBot="1"/>
    <row r="12" spans="1:2" ht="24.75" thickBot="1">
      <c r="A12" s="30" t="s">
        <v>304</v>
      </c>
      <c r="B12" s="31"/>
    </row>
    <row r="14" ht="25.5">
      <c r="B14" s="29" t="s">
        <v>317</v>
      </c>
    </row>
    <row r="15" ht="13.5" thickBot="1"/>
    <row r="16" spans="1:2" ht="24.75" thickBot="1">
      <c r="A16" s="30" t="s">
        <v>304</v>
      </c>
      <c r="B16" s="31"/>
    </row>
    <row r="18" ht="38.25">
      <c r="B18" s="29" t="s">
        <v>318</v>
      </c>
    </row>
    <row r="19" ht="13.5" thickBot="1"/>
    <row r="20" spans="1:2" ht="24.75" thickBot="1">
      <c r="A20" s="30" t="s">
        <v>304</v>
      </c>
      <c r="B20" s="31"/>
    </row>
  </sheetData>
  <sheetProtection sheet="1" objects="1" scenarios="1"/>
  <printOptions/>
  <pageMargins left="0.75" right="0.75" top="1" bottom="1" header="0" footer="0"/>
  <pageSetup orientation="portrait" paperSize="9"/>
</worksheet>
</file>

<file path=xl/worksheets/sheet1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1.421875" defaultRowHeight="12.75"/>
  <cols>
    <col min="1" max="1" width="30.7109375" style="49" customWidth="1"/>
    <col min="2" max="5" width="8.7109375" style="49" customWidth="1"/>
    <col min="6" max="16384" width="11.421875" style="49" customWidth="1"/>
  </cols>
  <sheetData>
    <row r="1" spans="1:4" ht="12.75">
      <c r="A1" s="36" t="str">
        <f>+VENTAS!A1</f>
        <v>AFIC - Ejercicio de Aplicación 1</v>
      </c>
      <c r="B1" s="37"/>
      <c r="C1" s="37"/>
      <c r="D1" s="37"/>
    </row>
    <row r="2" spans="1:4" ht="12.75">
      <c r="A2" s="36" t="str">
        <f>+VENTAS!A2</f>
        <v>SIDERAR S.A.</v>
      </c>
      <c r="B2" s="37"/>
      <c r="C2" s="37"/>
      <c r="D2" s="37"/>
    </row>
    <row r="3" spans="1:5" ht="12.75">
      <c r="A3" s="37"/>
      <c r="B3" s="37"/>
      <c r="C3" s="37"/>
      <c r="D3" s="37"/>
      <c r="E3" s="73" t="s">
        <v>305</v>
      </c>
    </row>
    <row r="4" spans="1:5" ht="12.75">
      <c r="A4" s="38" t="s">
        <v>144</v>
      </c>
      <c r="B4" s="39"/>
      <c r="C4" s="39"/>
      <c r="D4" s="39"/>
      <c r="E4" s="50"/>
    </row>
    <row r="5" spans="1:5" ht="12.75">
      <c r="A5" s="79"/>
      <c r="B5" s="41">
        <v>1996</v>
      </c>
      <c r="C5" s="41">
        <v>1997</v>
      </c>
      <c r="D5" s="41">
        <v>1998</v>
      </c>
      <c r="E5" s="51">
        <v>1999</v>
      </c>
    </row>
    <row r="6" spans="1:5" ht="12.75">
      <c r="A6" s="42" t="s">
        <v>45</v>
      </c>
      <c r="B6" s="96">
        <f>+'EST RESULT REORD'!B43</f>
        <v>55.200000000000124</v>
      </c>
      <c r="C6" s="96">
        <f>+'EST RESULT REORD'!C43</f>
        <v>92.29999999999995</v>
      </c>
      <c r="D6" s="96">
        <f>+'EST RESULT REORD'!D43</f>
        <v>117.6</v>
      </c>
      <c r="E6" s="87"/>
    </row>
    <row r="7" spans="1:5" ht="12.75">
      <c r="A7" s="42" t="s">
        <v>78</v>
      </c>
      <c r="B7" s="47">
        <f>+'EST PATR REORD'!B31</f>
        <v>537.6</v>
      </c>
      <c r="C7" s="47">
        <f>+'EST PATR REORD'!C31</f>
        <v>611.9</v>
      </c>
      <c r="D7" s="47">
        <f>+'EST PATR REORD'!D31</f>
        <v>701.5</v>
      </c>
      <c r="E7" s="56"/>
    </row>
    <row r="8" spans="1:5" ht="12.75">
      <c r="A8" s="42" t="s">
        <v>143</v>
      </c>
      <c r="B8" s="42"/>
      <c r="C8" s="47">
        <f>(B7+C7)/2</f>
        <v>574.75</v>
      </c>
      <c r="D8" s="47">
        <f>(C7+D7)/2</f>
        <v>656.7</v>
      </c>
      <c r="E8" s="56"/>
    </row>
    <row r="9" spans="1:5" ht="12.75">
      <c r="A9" s="42" t="s">
        <v>142</v>
      </c>
      <c r="B9" s="131"/>
      <c r="C9" s="131"/>
      <c r="D9" s="131"/>
      <c r="E9" s="127"/>
    </row>
    <row r="10" spans="1:5" ht="12.75">
      <c r="A10" s="42" t="s">
        <v>113</v>
      </c>
      <c r="B10" s="132">
        <f>+B6/B7</f>
        <v>0.10267857142857166</v>
      </c>
      <c r="C10" s="132">
        <f>+C6/C7</f>
        <v>0.15084164079097884</v>
      </c>
      <c r="D10" s="132">
        <f>+D6/D7</f>
        <v>0.1676407697790449</v>
      </c>
      <c r="E10" s="128"/>
    </row>
    <row r="11" spans="1:5" ht="12.75">
      <c r="A11" s="45" t="s">
        <v>112</v>
      </c>
      <c r="B11" s="133"/>
      <c r="C11" s="133">
        <f>+C6/C8</f>
        <v>0.16059156154849927</v>
      </c>
      <c r="D11" s="133">
        <f>+D6/D8</f>
        <v>0.17907720420283232</v>
      </c>
      <c r="E11" s="129"/>
    </row>
    <row r="12" spans="1:5" ht="12.75">
      <c r="A12" s="39"/>
      <c r="B12" s="134"/>
      <c r="C12" s="134"/>
      <c r="D12" s="134"/>
      <c r="E12" s="130"/>
    </row>
    <row r="13" spans="1:5" ht="12.75">
      <c r="A13" s="38" t="s">
        <v>141</v>
      </c>
      <c r="B13" s="134"/>
      <c r="C13" s="134"/>
      <c r="D13" s="134"/>
      <c r="E13" s="130"/>
    </row>
    <row r="14" spans="1:5" ht="12.75">
      <c r="A14" s="79"/>
      <c r="B14" s="41">
        <v>1996</v>
      </c>
      <c r="C14" s="41">
        <v>1997</v>
      </c>
      <c r="D14" s="41">
        <v>1998</v>
      </c>
      <c r="E14" s="51">
        <v>1999</v>
      </c>
    </row>
    <row r="15" spans="1:5" ht="12.75">
      <c r="A15" s="42" t="s">
        <v>79</v>
      </c>
      <c r="B15" s="47">
        <f>+'EST PATR REORD'!B29</f>
        <v>375.5</v>
      </c>
      <c r="C15" s="47">
        <f>+'EST PATR REORD'!C29</f>
        <v>276.20000000000005</v>
      </c>
      <c r="D15" s="47">
        <f>+'EST PATR REORD'!D29</f>
        <v>259.7</v>
      </c>
      <c r="E15" s="56"/>
    </row>
    <row r="16" spans="1:5" ht="12.75">
      <c r="A16" s="42" t="s">
        <v>140</v>
      </c>
      <c r="B16" s="42"/>
      <c r="C16" s="47">
        <f>(B15+C15)/2</f>
        <v>325.85</v>
      </c>
      <c r="D16" s="47">
        <f>(C15+D15)/2</f>
        <v>267.95000000000005</v>
      </c>
      <c r="E16" s="56"/>
    </row>
    <row r="17" spans="1:5" ht="12.75">
      <c r="A17" s="42" t="s">
        <v>139</v>
      </c>
      <c r="B17" s="42"/>
      <c r="C17" s="47"/>
      <c r="D17" s="47"/>
      <c r="E17" s="56"/>
    </row>
    <row r="18" spans="1:5" ht="12.75">
      <c r="A18" s="42" t="s">
        <v>138</v>
      </c>
      <c r="B18" s="111">
        <f>+B15/B7</f>
        <v>0.6984747023809523</v>
      </c>
      <c r="C18" s="111">
        <f>+C15/C7</f>
        <v>0.45138094459879075</v>
      </c>
      <c r="D18" s="111">
        <f>+D15/D7</f>
        <v>0.3702066999287241</v>
      </c>
      <c r="E18" s="94"/>
    </row>
    <row r="19" spans="1:5" ht="12.75">
      <c r="A19" s="45" t="s">
        <v>137</v>
      </c>
      <c r="B19" s="45"/>
      <c r="C19" s="109">
        <f>+C16/C8</f>
        <v>0.5669421487603307</v>
      </c>
      <c r="D19" s="109">
        <f>+D16/D8</f>
        <v>0.40802497335160653</v>
      </c>
      <c r="E19" s="92"/>
    </row>
    <row r="20" spans="1:5" ht="12.75">
      <c r="A20" s="42" t="s">
        <v>66</v>
      </c>
      <c r="B20" s="47">
        <f>-'EST RESULT REORD'!B42</f>
        <v>30.016</v>
      </c>
      <c r="C20" s="47">
        <f>-'EST RESULT REORD'!C42</f>
        <v>21.775</v>
      </c>
      <c r="D20" s="47">
        <f>-'EST RESULT REORD'!D42</f>
        <v>19.095</v>
      </c>
      <c r="E20" s="56"/>
    </row>
    <row r="21" spans="1:5" ht="12.75">
      <c r="A21" s="42" t="s">
        <v>136</v>
      </c>
      <c r="B21" s="47"/>
      <c r="C21" s="47"/>
      <c r="D21" s="47"/>
      <c r="E21" s="56"/>
    </row>
    <row r="22" spans="1:5" ht="12.75">
      <c r="A22" s="42" t="s">
        <v>113</v>
      </c>
      <c r="B22" s="101">
        <f>+B20/B15</f>
        <v>0.07993608521970705</v>
      </c>
      <c r="C22" s="101">
        <f>+C20/C15</f>
        <v>0.07883779869659666</v>
      </c>
      <c r="D22" s="101">
        <f>+D20/D15</f>
        <v>0.0735271467077397</v>
      </c>
      <c r="E22" s="91"/>
    </row>
    <row r="23" spans="1:5" ht="12.75">
      <c r="A23" s="45" t="s">
        <v>112</v>
      </c>
      <c r="B23" s="45"/>
      <c r="C23" s="110">
        <f>+C20/C16</f>
        <v>0.06682522633113396</v>
      </c>
      <c r="D23" s="110">
        <f>+D20/D16</f>
        <v>0.07126329539093113</v>
      </c>
      <c r="E23" s="93"/>
    </row>
  </sheetData>
  <sheetProtection sheet="1" objects="1" scenarios="1"/>
  <printOptions/>
  <pageMargins left="0.75" right="0.75" top="1" bottom="1" header="0" footer="0"/>
  <pageSetup orientation="portrait" paperSize="9"/>
</worksheet>
</file>

<file path=xl/worksheets/sheet18.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11.421875" defaultRowHeight="12.75"/>
  <cols>
    <col min="1" max="1" width="38.7109375" style="49" customWidth="1"/>
    <col min="2" max="5" width="8.7109375" style="49" customWidth="1"/>
    <col min="6" max="16384" width="11.421875" style="49" customWidth="1"/>
  </cols>
  <sheetData>
    <row r="1" spans="1:5" ht="12.75">
      <c r="A1" s="36" t="str">
        <f>+VENTAS!A1</f>
        <v>AFIC - Ejercicio de Aplicación 1</v>
      </c>
      <c r="B1" s="37"/>
      <c r="C1" s="37"/>
      <c r="D1" s="37"/>
      <c r="E1" s="37"/>
    </row>
    <row r="2" spans="1:5" ht="12.75">
      <c r="A2" s="36" t="str">
        <f>+VENTAS!A2</f>
        <v>SIDERAR S.A.</v>
      </c>
      <c r="B2" s="37"/>
      <c r="C2" s="37"/>
      <c r="D2" s="37"/>
      <c r="E2" s="37"/>
    </row>
    <row r="3" spans="1:5" ht="12.75">
      <c r="A3" s="37"/>
      <c r="B3" s="37"/>
      <c r="C3" s="37"/>
      <c r="D3" s="37"/>
      <c r="E3" s="37"/>
    </row>
    <row r="4" spans="1:5" ht="12.75">
      <c r="A4" s="38" t="s">
        <v>151</v>
      </c>
      <c r="B4" s="39"/>
      <c r="C4" s="39"/>
      <c r="D4" s="39"/>
      <c r="E4" s="39"/>
    </row>
    <row r="5" spans="1:5" ht="12.75">
      <c r="A5" s="38" t="s">
        <v>150</v>
      </c>
      <c r="B5" s="39"/>
      <c r="C5" s="39"/>
      <c r="D5" s="39"/>
      <c r="E5" s="39"/>
    </row>
    <row r="6" spans="1:5" ht="12.75">
      <c r="A6" s="40"/>
      <c r="B6" s="41">
        <v>1996</v>
      </c>
      <c r="C6" s="41">
        <v>1997</v>
      </c>
      <c r="D6" s="41">
        <v>1998</v>
      </c>
      <c r="E6" s="41">
        <v>1999</v>
      </c>
    </row>
    <row r="7" spans="1:5" ht="12.75">
      <c r="A7" s="45" t="s">
        <v>147</v>
      </c>
      <c r="B7" s="135">
        <f>+'RENDIM OPERAT'!B10</f>
        <v>0.0933260321980069</v>
      </c>
      <c r="C7" s="135">
        <f>+'RENDIM OPERAT'!C10</f>
        <v>0.1284483729309762</v>
      </c>
      <c r="D7" s="135">
        <f>+'RENDIM OPERAT'!D10</f>
        <v>0.14221285892634208</v>
      </c>
      <c r="E7" s="135">
        <v>0.073</v>
      </c>
    </row>
    <row r="8" spans="1:5" ht="12.75">
      <c r="A8" s="42" t="s">
        <v>136</v>
      </c>
      <c r="B8" s="136">
        <f>+'REND PATRIM'!B22</f>
        <v>0.07993608521970705</v>
      </c>
      <c r="C8" s="136">
        <f>+'REND PATRIM'!C22</f>
        <v>0.07883779869659666</v>
      </c>
      <c r="D8" s="136">
        <f>+'REND PATRIM'!D22</f>
        <v>0.0735271467077397</v>
      </c>
      <c r="E8" s="136">
        <v>0.076</v>
      </c>
    </row>
    <row r="9" spans="1:5" ht="12.75">
      <c r="A9" s="42" t="s">
        <v>146</v>
      </c>
      <c r="B9" s="136">
        <f>+B7-B8</f>
        <v>0.013389946978299858</v>
      </c>
      <c r="C9" s="136">
        <f>+C7-C8</f>
        <v>0.049610574234379534</v>
      </c>
      <c r="D9" s="136">
        <f>+D7-D8</f>
        <v>0.06868571221860238</v>
      </c>
      <c r="E9" s="136">
        <f>+E7-E8</f>
        <v>-0.0030000000000000027</v>
      </c>
    </row>
    <row r="10" spans="1:5" ht="12.75">
      <c r="A10" s="45" t="s">
        <v>139</v>
      </c>
      <c r="B10" s="109">
        <f>+'REND PATRIM'!B18</f>
        <v>0.6984747023809523</v>
      </c>
      <c r="C10" s="109">
        <f>+'REND PATRIM'!C18</f>
        <v>0.45138094459879075</v>
      </c>
      <c r="D10" s="109">
        <f>+'REND PATRIM'!D18</f>
        <v>0.3702066999287241</v>
      </c>
      <c r="E10" s="109">
        <v>0.45</v>
      </c>
    </row>
    <row r="11" spans="1:5" ht="12.75">
      <c r="A11" s="42" t="s">
        <v>149</v>
      </c>
      <c r="B11" s="136">
        <f>+B9*B10</f>
        <v>0.009352539230564725</v>
      </c>
      <c r="C11" s="136">
        <f>+C9*C10</f>
        <v>0.022393267860002664</v>
      </c>
      <c r="D11" s="136">
        <f>+D9*D10</f>
        <v>0.025427910852702833</v>
      </c>
      <c r="E11" s="136">
        <f>+E9*E10</f>
        <v>-0.0013500000000000012</v>
      </c>
    </row>
    <row r="12" spans="1:5" ht="12.75">
      <c r="A12" s="45" t="s">
        <v>142</v>
      </c>
      <c r="B12" s="135">
        <f>+B7+B11</f>
        <v>0.10267857142857163</v>
      </c>
      <c r="C12" s="135">
        <f>+C7+C11</f>
        <v>0.15084164079097886</v>
      </c>
      <c r="D12" s="135">
        <f>+D7+D11</f>
        <v>0.1676407697790449</v>
      </c>
      <c r="E12" s="135">
        <f>+E7+E11</f>
        <v>0.07164999999999999</v>
      </c>
    </row>
    <row r="13" spans="1:5" ht="12.75">
      <c r="A13" s="39"/>
      <c r="B13" s="137"/>
      <c r="C13" s="39"/>
      <c r="D13" s="39"/>
      <c r="E13" s="39"/>
    </row>
    <row r="14" spans="1:5" ht="12.75">
      <c r="A14" s="38" t="s">
        <v>148</v>
      </c>
      <c r="B14" s="137"/>
      <c r="C14" s="39"/>
      <c r="D14" s="39"/>
      <c r="E14" s="39"/>
    </row>
    <row r="15" spans="1:5" ht="12.75">
      <c r="A15" s="40"/>
      <c r="B15" s="41">
        <v>1996</v>
      </c>
      <c r="C15" s="41">
        <v>1997</v>
      </c>
      <c r="D15" s="41">
        <v>1998</v>
      </c>
      <c r="E15" s="41">
        <v>1999</v>
      </c>
    </row>
    <row r="16" spans="1:5" ht="12.75">
      <c r="A16" s="40" t="s">
        <v>147</v>
      </c>
      <c r="B16" s="138"/>
      <c r="C16" s="138">
        <f>+'RENDIM OPERAT'!C11</f>
        <v>0.12666555629580273</v>
      </c>
      <c r="D16" s="138">
        <f>+'RENDIM OPERAT'!D11</f>
        <v>0.1478343156870167</v>
      </c>
      <c r="E16" s="138">
        <v>0.076</v>
      </c>
    </row>
    <row r="17" spans="1:5" ht="12.75">
      <c r="A17" s="42" t="s">
        <v>136</v>
      </c>
      <c r="B17" s="136"/>
      <c r="C17" s="136">
        <f>+'REND PATRIM'!C23</f>
        <v>0.06682522633113396</v>
      </c>
      <c r="D17" s="136">
        <f>+'REND PATRIM'!D23</f>
        <v>0.07126329539093113</v>
      </c>
      <c r="E17" s="136">
        <v>0.084</v>
      </c>
    </row>
    <row r="18" spans="1:5" ht="12.75">
      <c r="A18" s="42" t="s">
        <v>146</v>
      </c>
      <c r="B18" s="42"/>
      <c r="C18" s="136">
        <f>+C16-C17</f>
        <v>0.05984032996466877</v>
      </c>
      <c r="D18" s="136">
        <f>+D16-D17</f>
        <v>0.07657102029608556</v>
      </c>
      <c r="E18" s="136">
        <f>+E16-E17</f>
        <v>-0.008000000000000007</v>
      </c>
    </row>
    <row r="19" spans="1:5" ht="12.75">
      <c r="A19" s="45" t="s">
        <v>139</v>
      </c>
      <c r="B19" s="45"/>
      <c r="C19" s="124">
        <f>+'REND PATRIM'!C19</f>
        <v>0.5669421487603307</v>
      </c>
      <c r="D19" s="124">
        <f>+'REND PATRIM'!D19</f>
        <v>0.40802497335160653</v>
      </c>
      <c r="E19" s="124">
        <v>0.41</v>
      </c>
    </row>
    <row r="20" spans="1:5" ht="12.75">
      <c r="A20" s="42" t="s">
        <v>145</v>
      </c>
      <c r="B20" s="42"/>
      <c r="C20" s="101">
        <f>+C18*C19</f>
        <v>0.03392600525269652</v>
      </c>
      <c r="D20" s="101">
        <f>+D18*D19</f>
        <v>0.031242888515815633</v>
      </c>
      <c r="E20" s="101">
        <f>+E18*E19</f>
        <v>-0.0032800000000000025</v>
      </c>
    </row>
    <row r="21" spans="1:5" ht="12.75">
      <c r="A21" s="45" t="s">
        <v>142</v>
      </c>
      <c r="B21" s="45"/>
      <c r="C21" s="135">
        <f>+C16+C20</f>
        <v>0.16059156154849924</v>
      </c>
      <c r="D21" s="135">
        <f>+D16+D20</f>
        <v>0.17907720420283232</v>
      </c>
      <c r="E21" s="135">
        <f>+E16+E20</f>
        <v>0.07271999999999999</v>
      </c>
    </row>
  </sheetData>
  <sheetProtection sheet="1" objects="1" scenarios="1"/>
  <printOptions/>
  <pageMargins left="0.75" right="0.75" top="1" bottom="1" header="0" footer="0"/>
  <pageSetup orientation="portrait" paperSize="9"/>
</worksheet>
</file>

<file path=xl/worksheets/sheet19.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11.421875" defaultRowHeight="12.75"/>
  <cols>
    <col min="1" max="1" width="40.7109375" style="49" customWidth="1"/>
    <col min="2" max="5" width="8.7109375" style="49" customWidth="1"/>
    <col min="6" max="16384" width="11.421875" style="49" customWidth="1"/>
  </cols>
  <sheetData>
    <row r="1" spans="1:4" ht="12.75">
      <c r="A1" s="36" t="str">
        <f>+VENTAS!A1</f>
        <v>AFIC - Ejercicio de Aplicación 1</v>
      </c>
      <c r="B1" s="37"/>
      <c r="C1" s="37"/>
      <c r="D1" s="37"/>
    </row>
    <row r="2" spans="1:4" ht="12.75">
      <c r="A2" s="36" t="str">
        <f>+VENTAS!A2</f>
        <v>SIDERAR S.A.</v>
      </c>
      <c r="B2" s="37"/>
      <c r="C2" s="37"/>
      <c r="D2" s="37"/>
    </row>
    <row r="3" spans="1:4" ht="12.75">
      <c r="A3" s="37"/>
      <c r="B3" s="37"/>
      <c r="C3" s="37"/>
      <c r="D3" s="37"/>
    </row>
    <row r="4" spans="1:5" ht="12.75">
      <c r="A4" s="38" t="s">
        <v>163</v>
      </c>
      <c r="B4" s="39"/>
      <c r="C4" s="39"/>
      <c r="D4" s="39"/>
      <c r="E4" s="50"/>
    </row>
    <row r="5" spans="1:5" ht="12.75">
      <c r="A5" s="39"/>
      <c r="B5" s="39" t="s">
        <v>162</v>
      </c>
      <c r="C5" s="39"/>
      <c r="D5" s="39"/>
      <c r="E5" s="50"/>
    </row>
    <row r="6" spans="1:5" ht="12.75">
      <c r="A6" s="40"/>
      <c r="B6" s="41">
        <v>1997</v>
      </c>
      <c r="C6" s="41">
        <v>1998</v>
      </c>
      <c r="D6" s="41">
        <v>1999</v>
      </c>
      <c r="E6" s="50"/>
    </row>
    <row r="7" spans="1:5" ht="12.75">
      <c r="A7" s="42" t="s">
        <v>161</v>
      </c>
      <c r="B7" s="136">
        <f>+'COMP REND OPERAT'!C6</f>
        <v>0.11273347168692555</v>
      </c>
      <c r="C7" s="136">
        <f>+'COMP REND OPERAT'!D6</f>
        <v>0.1161878453038674</v>
      </c>
      <c r="D7" s="136">
        <f>+'COMP REND OPERAT'!E6</f>
        <v>0.077</v>
      </c>
      <c r="E7" s="50"/>
    </row>
    <row r="8" spans="1:5" ht="12.75">
      <c r="A8" s="42" t="s">
        <v>160</v>
      </c>
      <c r="B8" s="123">
        <f>+'COMP REND OPERAT'!C9</f>
        <v>1.1235842771485673</v>
      </c>
      <c r="C8" s="123">
        <f>+'COMP REND OPERAT'!D9</f>
        <v>1.2723733304493592</v>
      </c>
      <c r="D8" s="123">
        <f>+'COMP REND OPERAT'!E9</f>
        <v>0.983</v>
      </c>
      <c r="E8" s="50"/>
    </row>
    <row r="9" spans="1:5" ht="12.75">
      <c r="A9" s="42" t="s">
        <v>159</v>
      </c>
      <c r="B9" s="123">
        <f>1+'C0MP REND PATR'!C19</f>
        <v>1.5669421487603308</v>
      </c>
      <c r="C9" s="123">
        <f>1+'C0MP REND PATR'!D19</f>
        <v>1.4080249733516066</v>
      </c>
      <c r="D9" s="123">
        <f>1+'C0MP REND PATR'!E19</f>
        <v>1.41</v>
      </c>
      <c r="E9" s="50"/>
    </row>
    <row r="10" spans="1:5" ht="12.75">
      <c r="A10" s="45" t="s">
        <v>158</v>
      </c>
      <c r="B10" s="109">
        <f>1-'REND PATRIM'!C20/'RENDIM OPERAT'!C6</f>
        <v>0.809116809116809</v>
      </c>
      <c r="C10" s="109">
        <f>1-'REND PATRIM'!D20/'RENDIM OPERAT'!D6</f>
        <v>0.8603094480412598</v>
      </c>
      <c r="D10" s="109">
        <v>0.68</v>
      </c>
      <c r="E10" s="50"/>
    </row>
    <row r="11" spans="1:5" ht="12.75">
      <c r="A11" s="42" t="s">
        <v>157</v>
      </c>
      <c r="B11" s="101">
        <f>+B7*B8</f>
        <v>0.12666555629580273</v>
      </c>
      <c r="C11" s="101">
        <f>+C7*C8</f>
        <v>0.14783431568701672</v>
      </c>
      <c r="D11" s="101">
        <f>+D7*D8</f>
        <v>0.075691</v>
      </c>
      <c r="E11" s="50"/>
    </row>
    <row r="12" spans="1:5" ht="25.5">
      <c r="A12" s="139" t="s">
        <v>156</v>
      </c>
      <c r="B12" s="140">
        <f aca="true" t="shared" si="0" ref="B12:D13">+B11*B9</f>
        <v>0.19847759895606776</v>
      </c>
      <c r="C12" s="140">
        <f t="shared" si="0"/>
        <v>0.2081544084056647</v>
      </c>
      <c r="D12" s="140">
        <f t="shared" si="0"/>
        <v>0.10672430999999999</v>
      </c>
      <c r="E12" s="50"/>
    </row>
    <row r="13" spans="1:5" ht="25.5">
      <c r="A13" s="139" t="s">
        <v>155</v>
      </c>
      <c r="B13" s="140">
        <f t="shared" si="0"/>
        <v>0.16059156154849927</v>
      </c>
      <c r="C13" s="140">
        <f t="shared" si="0"/>
        <v>0.17907720420283235</v>
      </c>
      <c r="D13" s="140">
        <f t="shared" si="0"/>
        <v>0.07257253079999999</v>
      </c>
      <c r="E13" s="50"/>
    </row>
    <row r="14" spans="1:5" ht="25.5">
      <c r="A14" s="141" t="s">
        <v>154</v>
      </c>
      <c r="B14" s="142">
        <f>+B9*B10</f>
        <v>1.267839231475595</v>
      </c>
      <c r="C14" s="142">
        <f>+C9*C10</f>
        <v>1.2113371876524301</v>
      </c>
      <c r="D14" s="142">
        <f>+D9*D10</f>
        <v>0.9588</v>
      </c>
      <c r="E14" s="50"/>
    </row>
    <row r="15" spans="1:5" ht="12.75">
      <c r="A15" s="46"/>
      <c r="B15" s="143"/>
      <c r="C15" s="143"/>
      <c r="D15" s="143"/>
      <c r="E15" s="50"/>
    </row>
    <row r="16" spans="1:5" ht="12.75">
      <c r="A16" s="38" t="s">
        <v>153</v>
      </c>
      <c r="B16" s="39"/>
      <c r="C16" s="39"/>
      <c r="D16" s="39"/>
      <c r="E16" s="50"/>
    </row>
    <row r="17" spans="1:5" ht="12.75">
      <c r="A17" s="79"/>
      <c r="B17" s="41">
        <v>1996</v>
      </c>
      <c r="C17" s="41">
        <v>1997</v>
      </c>
      <c r="D17" s="41">
        <v>1998</v>
      </c>
      <c r="E17" s="41">
        <v>1999</v>
      </c>
    </row>
    <row r="18" spans="1:5" ht="12.75">
      <c r="A18" s="42" t="s">
        <v>77</v>
      </c>
      <c r="B18" s="83">
        <f>+'RENDIM OPERAT'!B6</f>
        <v>85.21600000000012</v>
      </c>
      <c r="C18" s="83">
        <f>+'RENDIM OPERAT'!C6</f>
        <v>114.07499999999996</v>
      </c>
      <c r="D18" s="83">
        <f>+'RENDIM OPERAT'!D6</f>
        <v>136.695</v>
      </c>
      <c r="E18" s="83">
        <v>76.1</v>
      </c>
    </row>
    <row r="19" spans="1:5" ht="12.75">
      <c r="A19" s="42" t="s">
        <v>66</v>
      </c>
      <c r="B19" s="83">
        <f>+'REND PATRIM'!B20</f>
        <v>30.016</v>
      </c>
      <c r="C19" s="83">
        <f>+'REND PATRIM'!C20</f>
        <v>21.775</v>
      </c>
      <c r="D19" s="83">
        <f>+'REND PATRIM'!D20</f>
        <v>19.095</v>
      </c>
      <c r="E19" s="83">
        <v>24.4</v>
      </c>
    </row>
    <row r="20" spans="1:5" ht="12.75">
      <c r="A20" s="45" t="s">
        <v>152</v>
      </c>
      <c r="B20" s="109">
        <f>+B18/B19</f>
        <v>2.839019189765463</v>
      </c>
      <c r="C20" s="109">
        <f>+C18/C19</f>
        <v>5.238805970149253</v>
      </c>
      <c r="D20" s="109">
        <f>+D18/D19</f>
        <v>7.158680282796544</v>
      </c>
      <c r="E20" s="109">
        <f>+E18/E19</f>
        <v>3.1188524590163933</v>
      </c>
    </row>
  </sheetData>
  <sheetProtection sheet="1" objects="1" scenarios="1"/>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E13"/>
  <sheetViews>
    <sheetView workbookViewId="0" topLeftCell="A1">
      <selection activeCell="B1" sqref="B1"/>
    </sheetView>
  </sheetViews>
  <sheetFormatPr defaultColWidth="11.421875" defaultRowHeight="12.75"/>
  <cols>
    <col min="1" max="1" width="25.7109375" style="49" customWidth="1"/>
    <col min="2" max="5" width="8.7109375" style="49" customWidth="1"/>
    <col min="6" max="16384" width="11.421875" style="49" customWidth="1"/>
  </cols>
  <sheetData>
    <row r="1" spans="1:5" ht="12.75">
      <c r="A1" s="36" t="s">
        <v>6</v>
      </c>
      <c r="B1" s="37"/>
      <c r="C1" s="37"/>
      <c r="D1" s="37"/>
      <c r="E1" s="37"/>
    </row>
    <row r="2" spans="1:5" ht="12.75">
      <c r="A2" s="36" t="s">
        <v>7</v>
      </c>
      <c r="B2" s="37"/>
      <c r="C2" s="37"/>
      <c r="D2" s="37"/>
      <c r="E2" s="37"/>
    </row>
    <row r="3" spans="1:5" ht="12.75">
      <c r="A3" s="37"/>
      <c r="B3" s="37"/>
      <c r="C3" s="37"/>
      <c r="D3" s="37"/>
      <c r="E3" s="37"/>
    </row>
    <row r="4" spans="1:5" ht="12.75">
      <c r="A4" s="38" t="s">
        <v>13</v>
      </c>
      <c r="B4" s="39"/>
      <c r="C4" s="39"/>
      <c r="D4" s="39"/>
      <c r="E4" s="39"/>
    </row>
    <row r="5" spans="1:5" ht="12.75">
      <c r="A5" s="40" t="s">
        <v>12</v>
      </c>
      <c r="B5" s="41">
        <v>1996</v>
      </c>
      <c r="C5" s="41">
        <v>1997</v>
      </c>
      <c r="D5" s="41">
        <v>1998</v>
      </c>
      <c r="E5" s="41">
        <v>1999</v>
      </c>
    </row>
    <row r="6" spans="1:5" ht="12.75">
      <c r="A6" s="42" t="s">
        <v>10</v>
      </c>
      <c r="B6" s="43">
        <v>1136</v>
      </c>
      <c r="C6" s="43">
        <v>1232</v>
      </c>
      <c r="D6" s="43">
        <f>1682-225</f>
        <v>1457</v>
      </c>
      <c r="E6" s="43">
        <f>1297-110</f>
        <v>1187</v>
      </c>
    </row>
    <row r="7" spans="1:5" ht="12.75">
      <c r="A7" s="42" t="s">
        <v>9</v>
      </c>
      <c r="B7" s="44">
        <v>533</v>
      </c>
      <c r="C7" s="44">
        <v>543</v>
      </c>
      <c r="D7" s="44">
        <v>537</v>
      </c>
      <c r="E7" s="44">
        <v>829</v>
      </c>
    </row>
    <row r="8" spans="1:5" ht="12.75">
      <c r="A8" s="45" t="s">
        <v>8</v>
      </c>
      <c r="B8" s="44">
        <f>SUM(B6:B7)</f>
        <v>1669</v>
      </c>
      <c r="C8" s="44">
        <f>SUM(C6:C7)</f>
        <v>1775</v>
      </c>
      <c r="D8" s="44">
        <f>SUM(D6:D7)</f>
        <v>1994</v>
      </c>
      <c r="E8" s="44">
        <f>SUM(E6:E7)</f>
        <v>2016</v>
      </c>
    </row>
    <row r="9" spans="1:5" ht="12.75">
      <c r="A9" s="46"/>
      <c r="B9" s="46"/>
      <c r="C9" s="46"/>
      <c r="D9" s="46"/>
      <c r="E9" s="46"/>
    </row>
    <row r="10" spans="1:5" ht="12.75">
      <c r="A10" s="40" t="s">
        <v>11</v>
      </c>
      <c r="B10" s="41">
        <v>1996</v>
      </c>
      <c r="C10" s="41">
        <v>1997</v>
      </c>
      <c r="D10" s="41">
        <v>1998</v>
      </c>
      <c r="E10" s="41">
        <v>1999</v>
      </c>
    </row>
    <row r="11" spans="1:5" ht="12.75">
      <c r="A11" s="42" t="s">
        <v>10</v>
      </c>
      <c r="B11" s="47">
        <f>+'EST RESULT'!B6-VENTAS!B12</f>
        <v>763</v>
      </c>
      <c r="C11" s="47">
        <f>+'EST RESULT'!C6-VENTAS!C12</f>
        <v>824.9</v>
      </c>
      <c r="D11" s="47">
        <f>+'EST RESULT'!D6-VENTAS!D12</f>
        <v>982.5</v>
      </c>
      <c r="E11" s="47">
        <f>+'EST RESULT'!E6-VENTAS!E12</f>
        <v>679.7</v>
      </c>
    </row>
    <row r="12" spans="1:5" ht="12.75">
      <c r="A12" s="42" t="s">
        <v>9</v>
      </c>
      <c r="B12" s="48">
        <v>175.7</v>
      </c>
      <c r="C12" s="48">
        <v>187</v>
      </c>
      <c r="D12" s="48">
        <v>194</v>
      </c>
      <c r="E12" s="48">
        <v>306</v>
      </c>
    </row>
    <row r="13" spans="1:5" ht="12.75">
      <c r="A13" s="45" t="s">
        <v>8</v>
      </c>
      <c r="B13" s="48">
        <f>SUM(B11:B12)</f>
        <v>938.7</v>
      </c>
      <c r="C13" s="48">
        <f>SUM(C11:C12)</f>
        <v>1011.9</v>
      </c>
      <c r="D13" s="48">
        <f>SUM(D11:D12)</f>
        <v>1176.5</v>
      </c>
      <c r="E13" s="48">
        <f>SUM(E11:E12)</f>
        <v>985.7</v>
      </c>
    </row>
  </sheetData>
  <sheetProtection sheet="1" objects="1" scenarios="1"/>
  <printOptions/>
  <pageMargins left="0.75" right="0.75" top="1" bottom="1" header="0" footer="0"/>
  <pageSetup orientation="portrait" paperSize="9"/>
</worksheet>
</file>

<file path=xl/worksheets/sheet20.xml><?xml version="1.0" encoding="utf-8"?>
<worksheet xmlns="http://schemas.openxmlformats.org/spreadsheetml/2006/main" xmlns:r="http://schemas.openxmlformats.org/officeDocument/2006/relationships">
  <dimension ref="A1:B16"/>
  <sheetViews>
    <sheetView workbookViewId="0" topLeftCell="A1">
      <selection activeCell="A1" sqref="A1"/>
    </sheetView>
  </sheetViews>
  <sheetFormatPr defaultColWidth="11.421875" defaultRowHeight="12.75"/>
  <cols>
    <col min="1" max="1" width="9.7109375" style="0" customWidth="1"/>
    <col min="2" max="2" width="65.7109375" style="0" customWidth="1"/>
  </cols>
  <sheetData>
    <row r="1" ht="12.75">
      <c r="A1" s="36" t="str">
        <f>+VENTAS!A1</f>
        <v>AFIC - Ejercicio de Aplicación 1</v>
      </c>
    </row>
    <row r="2" ht="12.75">
      <c r="A2" s="36" t="str">
        <f>+VENTAS!A2</f>
        <v>SIDERAR S.A.</v>
      </c>
    </row>
    <row r="3" ht="12.75">
      <c r="B3" s="35" t="s">
        <v>323</v>
      </c>
    </row>
    <row r="4" ht="25.5">
      <c r="B4" s="29" t="s">
        <v>326</v>
      </c>
    </row>
    <row r="5" ht="12.75">
      <c r="B5" s="29"/>
    </row>
    <row r="6" ht="25.5">
      <c r="B6" s="29" t="s">
        <v>325</v>
      </c>
    </row>
    <row r="7" ht="13.5" thickBot="1"/>
    <row r="8" spans="1:2" ht="24.75" thickBot="1">
      <c r="A8" s="30" t="s">
        <v>304</v>
      </c>
      <c r="B8" s="31"/>
    </row>
    <row r="10" ht="38.25">
      <c r="B10" s="29" t="s">
        <v>327</v>
      </c>
    </row>
    <row r="11" ht="13.5" thickBot="1"/>
    <row r="12" spans="1:2" ht="24.75" thickBot="1">
      <c r="A12" s="30" t="s">
        <v>304</v>
      </c>
      <c r="B12" s="31"/>
    </row>
    <row r="14" ht="25.5">
      <c r="B14" s="29" t="s">
        <v>328</v>
      </c>
    </row>
    <row r="15" ht="13.5" thickBot="1"/>
    <row r="16" spans="1:2" ht="24.75" thickBot="1">
      <c r="A16" s="30" t="s">
        <v>304</v>
      </c>
      <c r="B16" s="31"/>
    </row>
  </sheetData>
  <sheetProtection sheet="1" objects="1" scenarios="1"/>
  <printOptions/>
  <pageMargins left="0.75" right="0.75" top="1" bottom="1" header="0" footer="0"/>
  <pageSetup orientation="portrait" paperSize="9"/>
</worksheet>
</file>

<file path=xl/worksheets/sheet21.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11.421875" defaultRowHeight="12.75"/>
  <cols>
    <col min="1" max="1" width="22.7109375" style="0" customWidth="1"/>
    <col min="2" max="9" width="7.7109375" style="0" customWidth="1"/>
  </cols>
  <sheetData>
    <row r="1" ht="12.75">
      <c r="A1" s="36" t="str">
        <f>+VENTAS!A1</f>
        <v>AFIC - Ejercicio de Aplicación 1</v>
      </c>
    </row>
    <row r="2" ht="12.75">
      <c r="A2" s="36" t="str">
        <f>+VENTAS!A2</f>
        <v>SIDERAR S.A.</v>
      </c>
    </row>
    <row r="4" spans="1:9" ht="12.75">
      <c r="A4" s="17" t="s">
        <v>171</v>
      </c>
      <c r="B4" s="16"/>
      <c r="C4" s="16"/>
      <c r="D4" s="16"/>
      <c r="E4" s="16"/>
      <c r="F4" s="16"/>
      <c r="G4" s="16"/>
      <c r="H4" s="16"/>
      <c r="I4" s="16"/>
    </row>
    <row r="5" spans="1:9" ht="33.75">
      <c r="A5" s="25"/>
      <c r="B5" s="24" t="s">
        <v>170</v>
      </c>
      <c r="C5" s="24" t="s">
        <v>169</v>
      </c>
      <c r="D5" s="24" t="s">
        <v>168</v>
      </c>
      <c r="E5" s="24" t="s">
        <v>8</v>
      </c>
      <c r="F5" s="24" t="s">
        <v>170</v>
      </c>
      <c r="G5" s="24" t="s">
        <v>169</v>
      </c>
      <c r="H5" s="24" t="s">
        <v>168</v>
      </c>
      <c r="I5" s="24" t="s">
        <v>8</v>
      </c>
    </row>
    <row r="6" spans="1:9" ht="12.75">
      <c r="A6" s="20"/>
      <c r="B6" s="199">
        <v>1996</v>
      </c>
      <c r="C6" s="200"/>
      <c r="D6" s="200"/>
      <c r="E6" s="201"/>
      <c r="F6" s="199">
        <v>1997</v>
      </c>
      <c r="G6" s="200"/>
      <c r="H6" s="200"/>
      <c r="I6" s="201"/>
    </row>
    <row r="7" spans="1:9" ht="12.75">
      <c r="A7" s="13" t="s">
        <v>167</v>
      </c>
      <c r="B7" s="14">
        <v>125</v>
      </c>
      <c r="C7" s="14">
        <v>8.8</v>
      </c>
      <c r="D7" s="14">
        <v>40.7</v>
      </c>
      <c r="E7" s="14">
        <f>SUM(B7:D7)</f>
        <v>174.5</v>
      </c>
      <c r="F7" s="14">
        <v>124.5</v>
      </c>
      <c r="G7" s="14">
        <v>8.7</v>
      </c>
      <c r="H7" s="14">
        <v>40.5</v>
      </c>
      <c r="I7" s="14">
        <f>SUM(F7:H7)</f>
        <v>173.7</v>
      </c>
    </row>
    <row r="8" spans="1:9" ht="12.75">
      <c r="A8" s="13" t="s">
        <v>166</v>
      </c>
      <c r="B8" s="14">
        <v>57.5</v>
      </c>
      <c r="C8" s="14"/>
      <c r="D8" s="14">
        <v>2.2</v>
      </c>
      <c r="E8" s="14">
        <f>SUM(B8:D8)</f>
        <v>59.7</v>
      </c>
      <c r="F8" s="14">
        <v>64.5</v>
      </c>
      <c r="G8" s="14"/>
      <c r="H8" s="14">
        <v>2.6</v>
      </c>
      <c r="I8" s="14">
        <f>SUM(F8:H8)</f>
        <v>67.1</v>
      </c>
    </row>
    <row r="9" spans="1:9" ht="12.75">
      <c r="A9" s="13" t="s">
        <v>165</v>
      </c>
      <c r="B9" s="14">
        <f>293-SUM(B7:B8,B10:B10)</f>
        <v>64.19999999999999</v>
      </c>
      <c r="C9" s="14">
        <f>+C11-SUM(C7:C8,C10:C10)</f>
        <v>20.3</v>
      </c>
      <c r="D9" s="14">
        <f>+D11-SUM(D7:D8,D10:D10)</f>
        <v>32.19999999999999</v>
      </c>
      <c r="E9" s="14">
        <f>SUM(B9:D9)</f>
        <v>116.69999999999997</v>
      </c>
      <c r="F9" s="14">
        <f>323.5-SUM(F7:F8,F10:F10)</f>
        <v>71.6</v>
      </c>
      <c r="G9" s="14">
        <f>+G11-SUM(G7:G8,G10:G10)</f>
        <v>16.5</v>
      </c>
      <c r="H9" s="14">
        <f>+H11-SUM(H7:H8,H10:H10)</f>
        <v>37.1</v>
      </c>
      <c r="I9" s="14">
        <f>SUM(F9:H9)</f>
        <v>125.19999999999999</v>
      </c>
    </row>
    <row r="10" spans="1:9" ht="12.75">
      <c r="A10" s="13" t="s">
        <v>164</v>
      </c>
      <c r="B10" s="11">
        <f>66.9-20.6</f>
        <v>46.300000000000004</v>
      </c>
      <c r="C10" s="11"/>
      <c r="D10" s="11"/>
      <c r="E10" s="11">
        <f>SUM(B10:D10)</f>
        <v>46.300000000000004</v>
      </c>
      <c r="F10" s="11">
        <f>75.9-13</f>
        <v>62.900000000000006</v>
      </c>
      <c r="G10" s="11"/>
      <c r="H10" s="11"/>
      <c r="I10" s="11">
        <f>SUM(F10:H10)</f>
        <v>62.900000000000006</v>
      </c>
    </row>
    <row r="11" spans="1:9" ht="12.75">
      <c r="A11" s="19" t="s">
        <v>8</v>
      </c>
      <c r="B11" s="23">
        <f>SUM(B7:B10)</f>
        <v>293</v>
      </c>
      <c r="C11" s="18">
        <f>-'EST RESULT'!B9</f>
        <v>29.1</v>
      </c>
      <c r="D11" s="18">
        <f>-'EST RESULT'!B10</f>
        <v>75.1</v>
      </c>
      <c r="E11" s="18">
        <f>SUM(B11:D11)</f>
        <v>397.20000000000005</v>
      </c>
      <c r="F11" s="23">
        <f>SUM(F7:F10)</f>
        <v>323.5</v>
      </c>
      <c r="G11" s="18">
        <f>-'EST RESULT'!C9</f>
        <v>25.2</v>
      </c>
      <c r="H11" s="18">
        <f>-'EST RESULT'!C10</f>
        <v>80.2</v>
      </c>
      <c r="I11" s="18">
        <f>SUM(F11:H11)</f>
        <v>428.9</v>
      </c>
    </row>
    <row r="12" spans="1:9" ht="12.75">
      <c r="A12" s="20"/>
      <c r="B12" s="199">
        <v>1998</v>
      </c>
      <c r="C12" s="200"/>
      <c r="D12" s="200"/>
      <c r="E12" s="201"/>
      <c r="F12" s="199">
        <v>1999</v>
      </c>
      <c r="G12" s="200"/>
      <c r="H12" s="200"/>
      <c r="I12" s="201"/>
    </row>
    <row r="13" spans="1:9" ht="12.75">
      <c r="A13" s="13" t="s">
        <v>167</v>
      </c>
      <c r="B13" s="14">
        <v>128.3</v>
      </c>
      <c r="C13" s="14">
        <v>9.5</v>
      </c>
      <c r="D13" s="14">
        <v>39.4</v>
      </c>
      <c r="E13" s="14">
        <f>SUM(B13:D13)</f>
        <v>177.20000000000002</v>
      </c>
      <c r="F13" s="14">
        <v>124.4</v>
      </c>
      <c r="G13" s="14">
        <v>10.6</v>
      </c>
      <c r="H13" s="14">
        <v>35.1</v>
      </c>
      <c r="I13" s="14">
        <f>SUM(F13:H13)</f>
        <v>170.1</v>
      </c>
    </row>
    <row r="14" spans="1:9" ht="12.75">
      <c r="A14" s="13" t="s">
        <v>166</v>
      </c>
      <c r="B14" s="14">
        <v>81.8</v>
      </c>
      <c r="C14" s="14"/>
      <c r="D14" s="14">
        <v>2.8</v>
      </c>
      <c r="E14" s="14">
        <f>SUM(B14:D14)</f>
        <v>84.6</v>
      </c>
      <c r="F14" s="14">
        <v>80.2</v>
      </c>
      <c r="G14" s="14"/>
      <c r="H14" s="14">
        <v>3.4</v>
      </c>
      <c r="I14" s="14">
        <f>SUM(F14:H14)</f>
        <v>83.60000000000001</v>
      </c>
    </row>
    <row r="15" spans="1:9" ht="12.75">
      <c r="A15" s="13" t="s">
        <v>165</v>
      </c>
      <c r="B15" s="14">
        <f>347.8-SUM(B13:B14,B16:B16)</f>
        <v>72.59999999999997</v>
      </c>
      <c r="C15" s="14">
        <f>+C17-SUM(C13:C14,C16:C16)</f>
        <v>16.8</v>
      </c>
      <c r="D15" s="14">
        <f>+D17-SUM(D13:D14,D16:D16)</f>
        <v>38.20000000000001</v>
      </c>
      <c r="E15" s="14">
        <f>SUM(B15:D15)</f>
        <v>127.59999999999997</v>
      </c>
      <c r="F15" s="14">
        <f>356.3-SUM(F13:F14,F16:F16)</f>
        <v>82.19999999999999</v>
      </c>
      <c r="G15" s="14">
        <f>+G17-SUM(G13:G14,G16:G16)</f>
        <v>14.9</v>
      </c>
      <c r="H15" s="14">
        <f>+H17-SUM(H13:H14,H16:H16)</f>
        <v>34.2</v>
      </c>
      <c r="I15" s="14">
        <f>SUM(F15:H15)</f>
        <v>131.3</v>
      </c>
    </row>
    <row r="16" spans="1:9" ht="12.75">
      <c r="A16" s="13" t="s">
        <v>164</v>
      </c>
      <c r="B16" s="11">
        <v>65.1</v>
      </c>
      <c r="C16" s="11"/>
      <c r="D16" s="11"/>
      <c r="E16" s="11">
        <f>SUM(B16:D16)</f>
        <v>65.1</v>
      </c>
      <c r="F16" s="11">
        <v>69.5</v>
      </c>
      <c r="G16" s="11"/>
      <c r="H16" s="11"/>
      <c r="I16" s="11">
        <f>SUM(F16:H16)</f>
        <v>69.5</v>
      </c>
    </row>
    <row r="17" spans="1:9" ht="12.75">
      <c r="A17" s="19" t="s">
        <v>8</v>
      </c>
      <c r="B17" s="23">
        <f>SUM(B13:B16)</f>
        <v>347.79999999999995</v>
      </c>
      <c r="C17" s="18">
        <f>-'EST RESULT'!D9</f>
        <v>26.3</v>
      </c>
      <c r="D17" s="18">
        <f>-'EST RESULT'!D10</f>
        <v>80.4</v>
      </c>
      <c r="E17" s="18">
        <f>SUM(B17:D17)</f>
        <v>454.5</v>
      </c>
      <c r="F17" s="23">
        <f>SUM(F13:F16)</f>
        <v>356.3</v>
      </c>
      <c r="G17" s="18">
        <f>-'EST RESULT'!E9</f>
        <v>25.5</v>
      </c>
      <c r="H17" s="18">
        <f>-'EST RESULT'!E10</f>
        <v>72.7</v>
      </c>
      <c r="I17" s="18">
        <f>SUM(F17:H17)</f>
        <v>454.5</v>
      </c>
    </row>
  </sheetData>
  <sheetProtection sheet="1" objects="1" scenarios="1"/>
  <mergeCells count="4">
    <mergeCell ref="B6:E6"/>
    <mergeCell ref="F6:I6"/>
    <mergeCell ref="B12:E12"/>
    <mergeCell ref="F12:I12"/>
  </mergeCells>
  <printOptions/>
  <pageMargins left="0.75" right="0.75" top="1" bottom="1" header="0" footer="0"/>
  <pageSetup orientation="portrait" paperSize="9"/>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11.421875" defaultRowHeight="12.75"/>
  <cols>
    <col min="1" max="1" width="30.7109375" style="49" customWidth="1"/>
    <col min="2" max="5" width="8.7109375" style="49" customWidth="1"/>
    <col min="6" max="16384" width="11.421875" style="49" customWidth="1"/>
  </cols>
  <sheetData>
    <row r="1" spans="1:5" ht="12.75">
      <c r="A1" s="36" t="str">
        <f>+VENTAS!A1</f>
        <v>AFIC - Ejercicio de Aplicación 1</v>
      </c>
      <c r="B1" s="37"/>
      <c r="C1" s="37"/>
      <c r="D1" s="37"/>
      <c r="E1" s="37"/>
    </row>
    <row r="2" spans="1:5" ht="12.75">
      <c r="A2" s="36" t="str">
        <f>+VENTAS!A2</f>
        <v>SIDERAR S.A.</v>
      </c>
      <c r="B2" s="37"/>
      <c r="C2" s="37"/>
      <c r="D2" s="37"/>
      <c r="E2" s="37"/>
    </row>
    <row r="3" spans="1:5" ht="12.75">
      <c r="A3" s="37"/>
      <c r="B3" s="37"/>
      <c r="C3" s="37"/>
      <c r="D3" s="37"/>
      <c r="E3" s="37"/>
    </row>
    <row r="4" spans="1:5" ht="12.75">
      <c r="A4" s="38" t="s">
        <v>183</v>
      </c>
      <c r="B4" s="39"/>
      <c r="C4" s="39"/>
      <c r="D4" s="39"/>
      <c r="E4" s="39"/>
    </row>
    <row r="5" spans="1:5" ht="12.75">
      <c r="A5" s="40" t="s">
        <v>180</v>
      </c>
      <c r="B5" s="41">
        <v>1996</v>
      </c>
      <c r="C5" s="41">
        <v>1997</v>
      </c>
      <c r="D5" s="41">
        <v>1998</v>
      </c>
      <c r="E5" s="41">
        <v>1999</v>
      </c>
    </row>
    <row r="6" spans="1:5" ht="12.75">
      <c r="A6" s="42" t="s">
        <v>182</v>
      </c>
      <c r="B6" s="42"/>
      <c r="C6" s="146"/>
      <c r="D6" s="146"/>
      <c r="E6" s="146"/>
    </row>
    <row r="7" spans="1:5" ht="12.75">
      <c r="A7" s="42" t="s">
        <v>179</v>
      </c>
      <c r="B7" s="147">
        <v>0.58</v>
      </c>
      <c r="C7" s="147">
        <v>0.56</v>
      </c>
      <c r="D7" s="147">
        <v>0.6</v>
      </c>
      <c r="E7" s="147">
        <v>0.54</v>
      </c>
    </row>
    <row r="8" spans="1:5" ht="12.75">
      <c r="A8" s="42" t="s">
        <v>178</v>
      </c>
      <c r="B8" s="147">
        <v>0.08</v>
      </c>
      <c r="C8" s="147">
        <v>0.08</v>
      </c>
      <c r="D8" s="147">
        <v>0.07</v>
      </c>
      <c r="E8" s="147">
        <v>0.08</v>
      </c>
    </row>
    <row r="9" spans="1:5" ht="12.75">
      <c r="A9" s="45" t="s">
        <v>181</v>
      </c>
      <c r="B9" s="148">
        <v>0.05</v>
      </c>
      <c r="C9" s="148">
        <v>0.05</v>
      </c>
      <c r="D9" s="148">
        <v>0.06</v>
      </c>
      <c r="E9" s="148">
        <v>0.06</v>
      </c>
    </row>
    <row r="10" spans="1:5" ht="12.75">
      <c r="A10" s="46"/>
      <c r="B10" s="105"/>
      <c r="C10" s="149"/>
      <c r="D10" s="149"/>
      <c r="E10" s="149"/>
    </row>
    <row r="11" spans="1:5" ht="12.75">
      <c r="A11" s="40"/>
      <c r="B11" s="41">
        <v>1996</v>
      </c>
      <c r="C11" s="41">
        <v>1997</v>
      </c>
      <c r="D11" s="41">
        <v>1998</v>
      </c>
      <c r="E11" s="41">
        <v>1999</v>
      </c>
    </row>
    <row r="12" spans="1:5" ht="12.75">
      <c r="A12" s="150" t="s">
        <v>180</v>
      </c>
      <c r="B12" s="151"/>
      <c r="C12" s="47"/>
      <c r="D12" s="47"/>
      <c r="E12" s="47"/>
    </row>
    <row r="13" spans="1:5" ht="12.75">
      <c r="A13" s="42" t="s">
        <v>175</v>
      </c>
      <c r="B13" s="151"/>
      <c r="C13" s="47"/>
      <c r="D13" s="47"/>
      <c r="E13" s="47"/>
    </row>
    <row r="14" spans="1:5" ht="12.75">
      <c r="A14" s="42" t="s">
        <v>179</v>
      </c>
      <c r="B14" s="47">
        <f>-'EST RESULT'!B7*B7</f>
        <v>410.52399999999994</v>
      </c>
      <c r="C14" s="47">
        <f>-'EST RESULT'!C7*C7</f>
        <v>409.136</v>
      </c>
      <c r="D14" s="47">
        <f>-'EST RESULT'!D7*D7</f>
        <v>513.3</v>
      </c>
      <c r="E14" s="47">
        <f>-'EST RESULT'!E7*E7</f>
        <v>412.236</v>
      </c>
    </row>
    <row r="15" spans="1:5" ht="12.75">
      <c r="A15" s="42" t="s">
        <v>178</v>
      </c>
      <c r="B15" s="47">
        <f>-'EST RESULT'!B7*B8</f>
        <v>56.623999999999995</v>
      </c>
      <c r="C15" s="47">
        <f>-'EST RESULT'!C7*C8</f>
        <v>58.448</v>
      </c>
      <c r="D15" s="47">
        <f>-'EST RESULT'!D7*D8</f>
        <v>59.885000000000005</v>
      </c>
      <c r="E15" s="47">
        <f>-'EST RESULT'!E7*E8</f>
        <v>61.072</v>
      </c>
    </row>
    <row r="16" spans="1:5" ht="12.75">
      <c r="A16" s="42" t="s">
        <v>174</v>
      </c>
      <c r="B16" s="47">
        <f>-'EST RESULT'!B9*B9</f>
        <v>1.455</v>
      </c>
      <c r="C16" s="47">
        <f>-'EST RESULT'!C9*C9</f>
        <v>1.26</v>
      </c>
      <c r="D16" s="47">
        <f>-'EST RESULT'!D9*D9</f>
        <v>1.578</v>
      </c>
      <c r="E16" s="47">
        <f>-'EST RESULT'!E9*E9</f>
        <v>1.53</v>
      </c>
    </row>
    <row r="17" spans="1:5" ht="12.75">
      <c r="A17" s="45" t="s">
        <v>177</v>
      </c>
      <c r="B17" s="48">
        <f>SUM(B14:B16)</f>
        <v>468.6029999999999</v>
      </c>
      <c r="C17" s="48">
        <f>SUM(C14:C16)</f>
        <v>468.844</v>
      </c>
      <c r="D17" s="48">
        <f>SUM(D14:D16)</f>
        <v>574.7629999999999</v>
      </c>
      <c r="E17" s="48">
        <f>SUM(E14:E16)</f>
        <v>474.83799999999997</v>
      </c>
    </row>
    <row r="18" spans="1:5" ht="12.75">
      <c r="A18" s="150" t="s">
        <v>176</v>
      </c>
      <c r="B18" s="151"/>
      <c r="C18" s="47"/>
      <c r="D18" s="47"/>
      <c r="E18" s="47"/>
    </row>
    <row r="19" spans="1:5" ht="12.75">
      <c r="A19" s="42" t="s">
        <v>175</v>
      </c>
      <c r="B19" s="47">
        <f>-'EST RESULT'!B7-B14-B15</f>
        <v>240.65200000000002</v>
      </c>
      <c r="C19" s="47">
        <f>-'EST RESULT'!C7-C14-C15</f>
        <v>263.016</v>
      </c>
      <c r="D19" s="47">
        <f>-'EST RESULT'!D7-D14-D15</f>
        <v>282.31500000000005</v>
      </c>
      <c r="E19" s="47">
        <f>-'EST RESULT'!E7-E14-E15</f>
        <v>290.092</v>
      </c>
    </row>
    <row r="20" spans="1:5" ht="12.75">
      <c r="A20" s="42" t="s">
        <v>174</v>
      </c>
      <c r="B20" s="47">
        <f>-'EST RESULT'!B9-B16</f>
        <v>27.645000000000003</v>
      </c>
      <c r="C20" s="47">
        <f>-'EST RESULT'!C9-C16</f>
        <v>23.939999999999998</v>
      </c>
      <c r="D20" s="47">
        <f>-'EST RESULT'!D9-D16</f>
        <v>24.722</v>
      </c>
      <c r="E20" s="47">
        <f>-'EST RESULT'!E9-E16</f>
        <v>23.97</v>
      </c>
    </row>
    <row r="21" spans="1:5" ht="12.75">
      <c r="A21" s="42" t="s">
        <v>173</v>
      </c>
      <c r="B21" s="47">
        <f>-'EST RESULT'!B10</f>
        <v>75.1</v>
      </c>
      <c r="C21" s="47">
        <f>-'EST RESULT'!C10</f>
        <v>80.2</v>
      </c>
      <c r="D21" s="47">
        <f>-'EST RESULT'!D10</f>
        <v>80.4</v>
      </c>
      <c r="E21" s="47">
        <f>-'EST RESULT'!E10</f>
        <v>72.7</v>
      </c>
    </row>
    <row r="22" spans="1:5" ht="12.75">
      <c r="A22" s="45" t="s">
        <v>172</v>
      </c>
      <c r="B22" s="48">
        <f>SUM(B19:B21)</f>
        <v>343.39700000000005</v>
      </c>
      <c r="C22" s="48">
        <f>SUM(C19:C21)</f>
        <v>367.156</v>
      </c>
      <c r="D22" s="48">
        <f>SUM(D19:D21)</f>
        <v>387.437</v>
      </c>
      <c r="E22" s="48">
        <f>SUM(E19:E21)</f>
        <v>386.762</v>
      </c>
    </row>
  </sheetData>
  <sheetProtection sheet="1" objects="1" scenarios="1"/>
  <printOptions/>
  <pageMargins left="0.75" right="0.75" top="1" bottom="1" header="0" footer="0"/>
  <pageSetup orientation="portrait" paperSize="9"/>
</worksheet>
</file>

<file path=xl/worksheets/sheet23.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1.421875" defaultRowHeight="12.75"/>
  <cols>
    <col min="1" max="1" width="35.7109375" style="49" customWidth="1"/>
    <col min="2" max="5" width="8.7109375" style="49" customWidth="1"/>
    <col min="6" max="16384" width="11.421875" style="49" customWidth="1"/>
  </cols>
  <sheetData>
    <row r="1" spans="1:5" ht="12.75">
      <c r="A1" s="36" t="str">
        <f>+VENTAS!A1</f>
        <v>AFIC - Ejercicio de Aplicación 1</v>
      </c>
      <c r="B1" s="37"/>
      <c r="C1" s="37"/>
      <c r="D1" s="37"/>
      <c r="E1" s="37"/>
    </row>
    <row r="2" spans="1:5" ht="12.75">
      <c r="A2" s="36" t="str">
        <f>+VENTAS!A2</f>
        <v>SIDERAR S.A.</v>
      </c>
      <c r="B2" s="37"/>
      <c r="C2" s="37"/>
      <c r="D2" s="37"/>
      <c r="E2" s="37"/>
    </row>
    <row r="3" spans="1:5" ht="12.75">
      <c r="A3" s="37"/>
      <c r="B3" s="37"/>
      <c r="C3" s="37"/>
      <c r="D3" s="37"/>
      <c r="E3" s="37"/>
    </row>
    <row r="4" spans="1:5" ht="12.75">
      <c r="A4" s="38" t="s">
        <v>194</v>
      </c>
      <c r="B4" s="39"/>
      <c r="C4" s="39"/>
      <c r="D4" s="39"/>
      <c r="E4" s="39"/>
    </row>
    <row r="5" spans="1:5" ht="12.75">
      <c r="A5" s="40"/>
      <c r="B5" s="41">
        <v>1996</v>
      </c>
      <c r="C5" s="41">
        <v>1997</v>
      </c>
      <c r="D5" s="41">
        <v>1998</v>
      </c>
      <c r="E5" s="41">
        <v>1999</v>
      </c>
    </row>
    <row r="6" spans="1:5" ht="12.75">
      <c r="A6" s="152" t="s">
        <v>193</v>
      </c>
      <c r="B6" s="108"/>
      <c r="C6" s="108"/>
      <c r="D6" s="108"/>
      <c r="E6" s="108"/>
    </row>
    <row r="7" spans="1:5" ht="12.75">
      <c r="A7" s="42" t="s">
        <v>131</v>
      </c>
      <c r="B7" s="47">
        <f>+'EST RESULT REORD'!B28</f>
        <v>938.7</v>
      </c>
      <c r="C7" s="47">
        <f>+'EST RESULT REORD'!C28</f>
        <v>1011.9</v>
      </c>
      <c r="D7" s="47">
        <f>+'EST RESULT REORD'!D28</f>
        <v>1176.5</v>
      </c>
      <c r="E7" s="47">
        <f>+'EST RESULT'!E6</f>
        <v>985.7</v>
      </c>
    </row>
    <row r="8" spans="1:5" ht="12.75">
      <c r="A8" s="42" t="s">
        <v>180</v>
      </c>
      <c r="B8" s="47">
        <f>-'COMP COSTOS'!B17</f>
        <v>-468.6029999999999</v>
      </c>
      <c r="C8" s="47">
        <f>-'COMP COSTOS'!C17</f>
        <v>-468.844</v>
      </c>
      <c r="D8" s="47">
        <f>-'COMP COSTOS'!D17</f>
        <v>-574.7629999999999</v>
      </c>
      <c r="E8" s="47">
        <f>-'COMP COSTOS'!E17</f>
        <v>-474.83799999999997</v>
      </c>
    </row>
    <row r="9" spans="1:5" ht="12.75">
      <c r="A9" s="42" t="s">
        <v>192</v>
      </c>
      <c r="B9" s="47">
        <f>+'EST RESULT REORD'!B35+'EST RESULT REORD'!B36</f>
        <v>2.5</v>
      </c>
      <c r="C9" s="47">
        <f>+'EST RESULT REORD'!C35+'EST RESULT REORD'!C36</f>
        <v>1</v>
      </c>
      <c r="D9" s="47">
        <f>+'EST RESULT REORD'!D35+'EST RESULT REORD'!D36</f>
        <v>2.8000000000000007</v>
      </c>
      <c r="E9" s="47">
        <f>+'EST RESULT'!E23+'EST RESULT'!E24</f>
        <v>2.5999999999999996</v>
      </c>
    </row>
    <row r="10" spans="1:5" ht="12.75">
      <c r="A10" s="60" t="s">
        <v>191</v>
      </c>
      <c r="B10" s="61">
        <f>SUM(B7:B9)</f>
        <v>472.59700000000015</v>
      </c>
      <c r="C10" s="61">
        <f>SUM(C7:C9)</f>
        <v>544.056</v>
      </c>
      <c r="D10" s="61">
        <f>SUM(D7:D9)</f>
        <v>604.537</v>
      </c>
      <c r="E10" s="61">
        <f>SUM(E7:E9)</f>
        <v>513.4620000000001</v>
      </c>
    </row>
    <row r="11" spans="1:5" ht="12.75">
      <c r="A11" s="42" t="s">
        <v>176</v>
      </c>
      <c r="B11" s="47">
        <f>-'COMP COSTOS'!B22</f>
        <v>-343.39700000000005</v>
      </c>
      <c r="C11" s="47">
        <f>-'COMP COSTOS'!C22</f>
        <v>-367.156</v>
      </c>
      <c r="D11" s="47">
        <f>-'COMP COSTOS'!D22</f>
        <v>-387.437</v>
      </c>
      <c r="E11" s="47">
        <f>-'COMP COSTOS'!E22</f>
        <v>-386.762</v>
      </c>
    </row>
    <row r="12" spans="1:5" ht="12.75">
      <c r="A12" s="42" t="s">
        <v>190</v>
      </c>
      <c r="B12" s="47">
        <f>+'EST RESULT REORD'!B34</f>
        <v>1</v>
      </c>
      <c r="C12" s="47">
        <f>+'EST RESULT REORD'!C34</f>
        <v>2.7</v>
      </c>
      <c r="D12" s="47">
        <f>+'EST RESULT REORD'!D34</f>
        <v>-3.6</v>
      </c>
      <c r="E12" s="47">
        <f>+'EST RESULT'!E22</f>
        <v>-8</v>
      </c>
    </row>
    <row r="13" spans="1:5" ht="12.75">
      <c r="A13" s="42" t="s">
        <v>49</v>
      </c>
      <c r="B13" s="47">
        <f>+'EST RESULT REORD'!B33</f>
        <v>-2.7</v>
      </c>
      <c r="C13" s="47">
        <f>+'EST RESULT REORD'!C33</f>
        <v>-5.3</v>
      </c>
      <c r="D13" s="47">
        <f>+'EST RESULT REORD'!D33</f>
        <v>-5.5</v>
      </c>
      <c r="E13" s="47">
        <f>+'EST RESULT'!E11</f>
        <v>-5</v>
      </c>
    </row>
    <row r="14" spans="1:5" ht="12.75">
      <c r="A14" s="60" t="s">
        <v>189</v>
      </c>
      <c r="B14" s="61">
        <f>+B11+B12+B13</f>
        <v>-345.09700000000004</v>
      </c>
      <c r="C14" s="61">
        <f>+C11+C12+C13</f>
        <v>-369.75600000000003</v>
      </c>
      <c r="D14" s="61">
        <f>+D11+D12+D13</f>
        <v>-396.53700000000003</v>
      </c>
      <c r="E14" s="61">
        <f>+E11+E12+E13</f>
        <v>-399.762</v>
      </c>
    </row>
    <row r="15" spans="1:5" ht="12.75">
      <c r="A15" s="42" t="s">
        <v>73</v>
      </c>
      <c r="B15" s="47">
        <f>-B18</f>
        <v>-42.284</v>
      </c>
      <c r="C15" s="47">
        <f>-C18</f>
        <v>-60.225</v>
      </c>
      <c r="D15" s="47">
        <f>-D18</f>
        <v>-71.305</v>
      </c>
      <c r="E15" s="47">
        <v>37.6</v>
      </c>
    </row>
    <row r="16" spans="1:5" ht="12.75">
      <c r="A16" s="45" t="s">
        <v>77</v>
      </c>
      <c r="B16" s="48">
        <f>+B10+B14+B15</f>
        <v>85.21600000000012</v>
      </c>
      <c r="C16" s="48">
        <f>+C10+C14+C15</f>
        <v>114.07500000000002</v>
      </c>
      <c r="D16" s="48">
        <f>+D10+D14+D15</f>
        <v>136.695</v>
      </c>
      <c r="E16" s="48">
        <f>+E10+E14+E15</f>
        <v>151.3000000000001</v>
      </c>
    </row>
    <row r="17" spans="1:5" ht="12.75">
      <c r="A17" s="150" t="s">
        <v>188</v>
      </c>
      <c r="B17" s="131"/>
      <c r="C17" s="131"/>
      <c r="D17" s="131"/>
      <c r="E17" s="131"/>
    </row>
    <row r="18" spans="1:5" ht="12.75">
      <c r="A18" s="42" t="s">
        <v>73</v>
      </c>
      <c r="B18" s="47">
        <f>-'EST RESULT REORD'!B38</f>
        <v>42.284</v>
      </c>
      <c r="C18" s="47">
        <f>-'EST RESULT REORD'!C38</f>
        <v>60.225</v>
      </c>
      <c r="D18" s="47">
        <f>-'EST RESULT REORD'!D38</f>
        <v>71.305</v>
      </c>
      <c r="E18" s="47">
        <v>37.6</v>
      </c>
    </row>
    <row r="19" spans="1:5" ht="12.75">
      <c r="A19" s="42" t="s">
        <v>187</v>
      </c>
      <c r="B19" s="47">
        <f>+'EST RESULT REORD'!B37</f>
        <v>127.50000000000011</v>
      </c>
      <c r="C19" s="47">
        <f>+'EST RESULT REORD'!C37</f>
        <v>174.29999999999995</v>
      </c>
      <c r="D19" s="47">
        <f>+'EST RESULT REORD'!D37</f>
        <v>208</v>
      </c>
      <c r="E19" s="47">
        <v>113.7</v>
      </c>
    </row>
    <row r="20" spans="1:5" ht="12.75">
      <c r="A20" s="45" t="s">
        <v>186</v>
      </c>
      <c r="B20" s="110">
        <f>+B18/B19</f>
        <v>0.3316392156862742</v>
      </c>
      <c r="C20" s="110">
        <f>+C18/C19</f>
        <v>0.3455249569707402</v>
      </c>
      <c r="D20" s="110">
        <f>+D18/D19</f>
        <v>0.3428125</v>
      </c>
      <c r="E20" s="110">
        <f>+E18/E19</f>
        <v>0.3306948109058927</v>
      </c>
    </row>
    <row r="21" spans="1:5" ht="12.75">
      <c r="A21" s="60" t="s">
        <v>185</v>
      </c>
      <c r="B21" s="61">
        <f>+B10*(1-B20)</f>
        <v>315.86530158431395</v>
      </c>
      <c r="C21" s="61">
        <f>+C10*(1-C20)</f>
        <v>356.07107401032704</v>
      </c>
      <c r="D21" s="61">
        <f>+D10*(1-D20)</f>
        <v>397.29415968750004</v>
      </c>
      <c r="E21" s="61">
        <f>+E10*(1-E20)</f>
        <v>343.6627810026386</v>
      </c>
    </row>
    <row r="22" spans="1:5" ht="12.75">
      <c r="A22" s="60" t="s">
        <v>184</v>
      </c>
      <c r="B22" s="61">
        <f>+B14*(1-B20)</f>
        <v>-230.64930158431386</v>
      </c>
      <c r="C22" s="61">
        <f>+C14*(1-C20)</f>
        <v>-241.99607401032702</v>
      </c>
      <c r="D22" s="61">
        <f>+D14*(1-D20)</f>
        <v>-260.59915968750005</v>
      </c>
      <c r="E22" s="61">
        <f>+E14*(1-E20)</f>
        <v>-267.56278100263853</v>
      </c>
    </row>
    <row r="23" spans="1:5" ht="12.75">
      <c r="A23" s="45" t="s">
        <v>77</v>
      </c>
      <c r="B23" s="153">
        <f>+B21+B22</f>
        <v>85.2160000000001</v>
      </c>
      <c r="C23" s="153">
        <f>+C21+C22</f>
        <v>114.07500000000002</v>
      </c>
      <c r="D23" s="153">
        <f>+D21+D22</f>
        <v>136.695</v>
      </c>
      <c r="E23" s="153">
        <f>+E21+E22</f>
        <v>76.10000000000008</v>
      </c>
    </row>
  </sheetData>
  <sheetProtection sheet="1" objects="1" scenarios="1"/>
  <printOptions/>
  <pageMargins left="0.75" right="0.75" top="1" bottom="1" header="0" footer="0"/>
  <pageSetup orientation="portrait" paperSize="9"/>
</worksheet>
</file>

<file path=xl/worksheets/sheet24.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11.421875" defaultRowHeight="12.75"/>
  <cols>
    <col min="1" max="1" width="30.7109375" style="49" customWidth="1"/>
    <col min="2" max="5" width="8.7109375" style="49" customWidth="1"/>
    <col min="6" max="16384" width="11.421875" style="49" customWidth="1"/>
  </cols>
  <sheetData>
    <row r="1" spans="1:4" ht="12.75">
      <c r="A1" s="36" t="str">
        <f>+VENTAS!A1</f>
        <v>AFIC - Ejercicio de Aplicación 1</v>
      </c>
      <c r="B1" s="37"/>
      <c r="C1" s="37"/>
      <c r="D1" s="37"/>
    </row>
    <row r="2" spans="1:5" ht="12.75">
      <c r="A2" s="36" t="str">
        <f>+VENTAS!A2</f>
        <v>SIDERAR S.A.</v>
      </c>
      <c r="B2" s="37"/>
      <c r="C2" s="37"/>
      <c r="D2" s="37"/>
      <c r="E2" s="73" t="s">
        <v>305</v>
      </c>
    </row>
    <row r="3" spans="1:4" ht="12.75">
      <c r="A3" s="37"/>
      <c r="B3" s="37"/>
      <c r="C3" s="37"/>
      <c r="D3" s="37"/>
    </row>
    <row r="4" spans="1:5" ht="12.75">
      <c r="A4" s="79"/>
      <c r="B4" s="41">
        <v>1996</v>
      </c>
      <c r="C4" s="41">
        <v>1997</v>
      </c>
      <c r="D4" s="41">
        <v>1998</v>
      </c>
      <c r="E4" s="51">
        <v>1999</v>
      </c>
    </row>
    <row r="5" spans="1:5" ht="12.75">
      <c r="A5" s="150" t="s">
        <v>208</v>
      </c>
      <c r="B5" s="131"/>
      <c r="C5" s="131"/>
      <c r="D5" s="131"/>
      <c r="E5" s="127"/>
    </row>
    <row r="6" spans="1:5" ht="12.75">
      <c r="A6" s="42" t="s">
        <v>207</v>
      </c>
      <c r="B6" s="47">
        <f>+'MARG CONTRIB'!B21</f>
        <v>315.86530158431395</v>
      </c>
      <c r="C6" s="47">
        <f>+'MARG CONTRIB'!C21</f>
        <v>356.07107401032704</v>
      </c>
      <c r="D6" s="47">
        <f>+'MARG CONTRIB'!D21</f>
        <v>397.29415968750004</v>
      </c>
      <c r="E6" s="56"/>
    </row>
    <row r="7" spans="1:5" ht="12.75">
      <c r="A7" s="42" t="s">
        <v>77</v>
      </c>
      <c r="B7" s="47">
        <f>+'MARG CONTRIB'!B16</f>
        <v>85.21600000000012</v>
      </c>
      <c r="C7" s="47">
        <f>+'MARG CONTRIB'!C16</f>
        <v>114.07500000000002</v>
      </c>
      <c r="D7" s="47">
        <f>+'MARG CONTRIB'!D16</f>
        <v>136.695</v>
      </c>
      <c r="E7" s="56"/>
    </row>
    <row r="8" spans="1:5" ht="12.75">
      <c r="A8" s="40" t="s">
        <v>206</v>
      </c>
      <c r="B8" s="156">
        <f>+B6/B7</f>
        <v>3.706643137254899</v>
      </c>
      <c r="C8" s="156">
        <f>+C6/C7</f>
        <v>3.121376936316695</v>
      </c>
      <c r="D8" s="156">
        <f>+D6/D7</f>
        <v>2.9064278846153853</v>
      </c>
      <c r="E8" s="154"/>
    </row>
    <row r="9" spans="1:5" ht="12.75">
      <c r="A9" s="157" t="s">
        <v>199</v>
      </c>
      <c r="B9" s="147">
        <v>0.1</v>
      </c>
      <c r="C9" s="147">
        <v>0.1</v>
      </c>
      <c r="D9" s="147">
        <v>0.1</v>
      </c>
      <c r="E9" s="144"/>
    </row>
    <row r="10" spans="1:5" ht="12.75">
      <c r="A10" s="158" t="s">
        <v>205</v>
      </c>
      <c r="B10" s="148">
        <f>+B9*B8</f>
        <v>0.3706643137254899</v>
      </c>
      <c r="C10" s="148">
        <f>+C9*C8</f>
        <v>0.31213769363166954</v>
      </c>
      <c r="D10" s="148">
        <f>+D9*D8</f>
        <v>0.2906427884615385</v>
      </c>
      <c r="E10" s="145"/>
    </row>
    <row r="11" spans="1:5" ht="12.75">
      <c r="A11" s="150" t="s">
        <v>204</v>
      </c>
      <c r="B11" s="147"/>
      <c r="C11" s="147"/>
      <c r="D11" s="147"/>
      <c r="E11" s="144"/>
    </row>
    <row r="12" spans="1:5" ht="12.75">
      <c r="A12" s="42" t="s">
        <v>77</v>
      </c>
      <c r="B12" s="82">
        <f>+B7</f>
        <v>85.21600000000012</v>
      </c>
      <c r="C12" s="82">
        <f>+C7</f>
        <v>114.07500000000002</v>
      </c>
      <c r="D12" s="82">
        <f>+D7</f>
        <v>136.695</v>
      </c>
      <c r="E12" s="77"/>
    </row>
    <row r="13" spans="1:5" ht="12.75">
      <c r="A13" s="42" t="s">
        <v>45</v>
      </c>
      <c r="B13" s="82">
        <f>+'EST RESULT REORD'!B43</f>
        <v>55.200000000000124</v>
      </c>
      <c r="C13" s="82">
        <f>+'EST RESULT REORD'!C43</f>
        <v>92.29999999999995</v>
      </c>
      <c r="D13" s="82">
        <f>+'EST RESULT REORD'!D43</f>
        <v>117.6</v>
      </c>
      <c r="E13" s="77"/>
    </row>
    <row r="14" spans="1:5" ht="12.75">
      <c r="A14" s="40" t="s">
        <v>203</v>
      </c>
      <c r="B14" s="159">
        <f>+B7/B13</f>
        <v>1.5437681159420278</v>
      </c>
      <c r="C14" s="159">
        <f>+C7/C13</f>
        <v>1.2359154929577472</v>
      </c>
      <c r="D14" s="159">
        <f>+D7/D13</f>
        <v>1.162372448979592</v>
      </c>
      <c r="E14" s="155"/>
    </row>
    <row r="15" spans="1:5" ht="12.75">
      <c r="A15" s="157" t="s">
        <v>202</v>
      </c>
      <c r="B15" s="147">
        <v>0.1</v>
      </c>
      <c r="C15" s="147">
        <f>+B15</f>
        <v>0.1</v>
      </c>
      <c r="D15" s="147">
        <f>+C15</f>
        <v>0.1</v>
      </c>
      <c r="E15" s="144"/>
    </row>
    <row r="16" spans="1:5" ht="12.75">
      <c r="A16" s="158" t="s">
        <v>198</v>
      </c>
      <c r="B16" s="148">
        <f>+B15*B14</f>
        <v>0.1543768115942028</v>
      </c>
      <c r="C16" s="148">
        <f>+C15*C14</f>
        <v>0.12359154929577472</v>
      </c>
      <c r="D16" s="148">
        <f>+D15*D14</f>
        <v>0.1162372448979592</v>
      </c>
      <c r="E16" s="145"/>
    </row>
    <row r="17" spans="1:5" ht="12.75">
      <c r="A17" s="150" t="s">
        <v>201</v>
      </c>
      <c r="B17" s="147"/>
      <c r="C17" s="147"/>
      <c r="D17" s="147"/>
      <c r="E17" s="144"/>
    </row>
    <row r="18" spans="1:5" ht="12.75">
      <c r="A18" s="45" t="s">
        <v>200</v>
      </c>
      <c r="B18" s="109">
        <f>+B8*B14</f>
        <v>5.7221974924694425</v>
      </c>
      <c r="C18" s="109">
        <f>+C8*C14</f>
        <v>3.8577581149547906</v>
      </c>
      <c r="D18" s="109">
        <f>+D8*D14</f>
        <v>3.37835169802296</v>
      </c>
      <c r="E18" s="92"/>
    </row>
    <row r="19" spans="1:5" ht="12.75">
      <c r="A19" s="157" t="s">
        <v>199</v>
      </c>
      <c r="B19" s="147">
        <v>0.1</v>
      </c>
      <c r="C19" s="147">
        <v>0.1</v>
      </c>
      <c r="D19" s="147">
        <v>0.1</v>
      </c>
      <c r="E19" s="144"/>
    </row>
    <row r="20" spans="1:5" ht="12.75">
      <c r="A20" s="158" t="s">
        <v>198</v>
      </c>
      <c r="B20" s="148">
        <f>+B19*B18</f>
        <v>0.5722197492469443</v>
      </c>
      <c r="C20" s="148">
        <f>+C19*C18</f>
        <v>0.38577581149547907</v>
      </c>
      <c r="D20" s="148">
        <f>+D19*D18</f>
        <v>0.33783516980229605</v>
      </c>
      <c r="E20" s="145"/>
    </row>
    <row r="21" spans="1:5" ht="12.75">
      <c r="A21" s="150" t="s">
        <v>197</v>
      </c>
      <c r="B21" s="42"/>
      <c r="C21" s="42"/>
      <c r="D21" s="47"/>
      <c r="E21" s="56"/>
    </row>
    <row r="22" spans="1:5" ht="12.75">
      <c r="A22" s="42" t="s">
        <v>142</v>
      </c>
      <c r="B22" s="101">
        <f>+'REND PATRIM'!B10</f>
        <v>0.10267857142857166</v>
      </c>
      <c r="C22" s="101">
        <f>+'REND PATRIM'!C10</f>
        <v>0.15084164079097884</v>
      </c>
      <c r="D22" s="101">
        <f>+'REND PATRIM'!D10</f>
        <v>0.1676407697790449</v>
      </c>
      <c r="E22" s="91"/>
    </row>
    <row r="23" spans="1:5" ht="12.75">
      <c r="A23" s="45" t="s">
        <v>196</v>
      </c>
      <c r="B23" s="110">
        <f>+'RENDIM OPERAT'!B10</f>
        <v>0.0933260321980069</v>
      </c>
      <c r="C23" s="110">
        <f>+'RENDIM OPERAT'!C10</f>
        <v>0.1284483729309762</v>
      </c>
      <c r="D23" s="110">
        <f>+'RENDIM OPERAT'!D10</f>
        <v>0.14221285892634208</v>
      </c>
      <c r="E23" s="93"/>
    </row>
    <row r="24" spans="1:5" ht="12.75">
      <c r="A24" s="45" t="s">
        <v>195</v>
      </c>
      <c r="B24" s="109">
        <f>+B22/B23</f>
        <v>1.1002136168258152</v>
      </c>
      <c r="C24" s="109">
        <f>+C22/C23</f>
        <v>1.1743367187067137</v>
      </c>
      <c r="D24" s="109">
        <f>+D22/D23</f>
        <v>1.1788017697181166</v>
      </c>
      <c r="E24" s="92"/>
    </row>
  </sheetData>
  <sheetProtection sheet="1" objects="1" scenarios="1"/>
  <printOptions/>
  <pageMargins left="0.75" right="0.75" top="1" bottom="1" header="0" footer="0"/>
  <pageSetup orientation="portrait" paperSize="9"/>
</worksheet>
</file>

<file path=xl/worksheets/sheet25.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11.421875" defaultRowHeight="12.75"/>
  <cols>
    <col min="1" max="1" width="40.7109375" style="49" customWidth="1"/>
    <col min="2" max="4" width="8.7109375" style="49" customWidth="1"/>
    <col min="5" max="16384" width="11.421875" style="49" customWidth="1"/>
  </cols>
  <sheetData>
    <row r="1" spans="1:2" ht="12.75">
      <c r="A1" s="36" t="str">
        <f>+VENTAS!A1</f>
        <v>AFIC - Ejercicio de Aplicación 1</v>
      </c>
      <c r="B1" s="37"/>
    </row>
    <row r="2" spans="1:2" ht="12.75">
      <c r="A2" s="36" t="str">
        <f>+VENTAS!A2</f>
        <v>SIDERAR S.A.</v>
      </c>
      <c r="B2" s="37"/>
    </row>
    <row r="3" spans="1:2" ht="12.75">
      <c r="A3" s="37"/>
      <c r="B3" s="37"/>
    </row>
    <row r="4" spans="1:4" ht="12.75">
      <c r="A4" s="38" t="s">
        <v>233</v>
      </c>
      <c r="B4" s="39"/>
      <c r="C4" s="50"/>
      <c r="D4" s="50"/>
    </row>
    <row r="5" spans="1:4" ht="12.75">
      <c r="A5" s="163"/>
      <c r="B5" s="164">
        <v>1999</v>
      </c>
      <c r="C5" s="160"/>
      <c r="D5" s="160"/>
    </row>
    <row r="6" spans="1:4" ht="12.75">
      <c r="A6" s="42" t="s">
        <v>131</v>
      </c>
      <c r="B6" s="47">
        <f>+'MARG CONTRIB'!E7</f>
        <v>985.7</v>
      </c>
      <c r="C6" s="161"/>
      <c r="D6" s="161"/>
    </row>
    <row r="7" spans="1:4" ht="12.75">
      <c r="A7" s="42" t="s">
        <v>180</v>
      </c>
      <c r="B7" s="47">
        <f>+'MARG CONTRIB'!E8+'MARG CONTRIB'!E9</f>
        <v>-472.23799999999994</v>
      </c>
      <c r="C7" s="161"/>
      <c r="D7" s="161"/>
    </row>
    <row r="8" spans="1:4" ht="12.75">
      <c r="A8" s="42" t="s">
        <v>191</v>
      </c>
      <c r="B8" s="47">
        <f>+B6+B7</f>
        <v>513.4620000000001</v>
      </c>
      <c r="C8" s="161"/>
      <c r="D8" s="161"/>
    </row>
    <row r="9" spans="1:4" ht="12.75">
      <c r="A9" s="42" t="s">
        <v>224</v>
      </c>
      <c r="B9" s="47">
        <f>-B8*'MARG CONTRIB'!E20</f>
        <v>-169.79921899736152</v>
      </c>
      <c r="C9" s="161"/>
      <c r="D9" s="161"/>
    </row>
    <row r="10" spans="1:4" ht="12.75">
      <c r="A10" s="42" t="s">
        <v>207</v>
      </c>
      <c r="B10" s="47">
        <f>+B8+B9</f>
        <v>343.66278100263855</v>
      </c>
      <c r="C10" s="161"/>
      <c r="D10" s="161"/>
    </row>
    <row r="11" spans="1:4" ht="12.75">
      <c r="A11" s="42" t="s">
        <v>232</v>
      </c>
      <c r="B11" s="101">
        <f>+B10/B6</f>
        <v>0.3486484538933129</v>
      </c>
      <c r="C11" s="161"/>
      <c r="D11" s="161"/>
    </row>
    <row r="12" spans="1:4" ht="12.75">
      <c r="A12" s="42" t="s">
        <v>231</v>
      </c>
      <c r="B12" s="101">
        <f>+'MARG CONTRIB'!E20</f>
        <v>0.3306948109058927</v>
      </c>
      <c r="C12" s="161"/>
      <c r="D12" s="161"/>
    </row>
    <row r="13" spans="1:4" ht="12.75">
      <c r="A13" s="42" t="s">
        <v>223</v>
      </c>
      <c r="B13" s="47">
        <f>+'MARG CONTRIB'!E22</f>
        <v>-267.56278100263853</v>
      </c>
      <c r="C13" s="161"/>
      <c r="D13" s="161"/>
    </row>
    <row r="14" spans="1:4" ht="12.75">
      <c r="A14" s="45" t="s">
        <v>77</v>
      </c>
      <c r="B14" s="48">
        <f>+B10+B13</f>
        <v>76.10000000000002</v>
      </c>
      <c r="C14" s="161"/>
      <c r="D14" s="161"/>
    </row>
    <row r="15" spans="1:4" ht="12.75">
      <c r="A15" s="42" t="s">
        <v>230</v>
      </c>
      <c r="B15" s="147">
        <v>0.05</v>
      </c>
      <c r="C15" s="161"/>
      <c r="D15" s="161"/>
    </row>
    <row r="16" spans="1:4" ht="12.75">
      <c r="A16" s="42" t="s">
        <v>229</v>
      </c>
      <c r="B16" s="111">
        <v>4.52</v>
      </c>
      <c r="C16" s="161"/>
      <c r="D16" s="161"/>
    </row>
    <row r="17" spans="1:4" ht="25.5">
      <c r="A17" s="165" t="s">
        <v>228</v>
      </c>
      <c r="B17" s="166">
        <f>0.05*B16</f>
        <v>0.22599999999999998</v>
      </c>
      <c r="C17" s="161"/>
      <c r="D17" s="161"/>
    </row>
    <row r="18" spans="1:4" ht="12.75">
      <c r="A18" s="167"/>
      <c r="B18" s="168"/>
      <c r="C18" s="204">
        <v>2000</v>
      </c>
      <c r="D18" s="205"/>
    </row>
    <row r="19" spans="1:4" ht="12.75">
      <c r="A19" s="46"/>
      <c r="B19" s="169"/>
      <c r="C19" s="202" t="s">
        <v>227</v>
      </c>
      <c r="D19" s="203"/>
    </row>
    <row r="20" spans="1:4" ht="12.75">
      <c r="A20" s="170"/>
      <c r="B20" s="171"/>
      <c r="C20" s="172" t="s">
        <v>226</v>
      </c>
      <c r="D20" s="172" t="s">
        <v>225</v>
      </c>
    </row>
    <row r="21" spans="1:4" ht="12.75">
      <c r="A21" s="173" t="s">
        <v>131</v>
      </c>
      <c r="B21" s="174"/>
      <c r="C21" s="47">
        <f>+B6*0.95</f>
        <v>936.415</v>
      </c>
      <c r="D21" s="47">
        <f>+C21</f>
        <v>936.415</v>
      </c>
    </row>
    <row r="22" spans="1:4" ht="12.75">
      <c r="A22" s="173" t="s">
        <v>180</v>
      </c>
      <c r="B22" s="175"/>
      <c r="C22" s="47">
        <f>+B7*0.95</f>
        <v>-448.62609999999995</v>
      </c>
      <c r="D22" s="47">
        <f>+B7</f>
        <v>-472.23799999999994</v>
      </c>
    </row>
    <row r="23" spans="1:4" ht="12.75">
      <c r="A23" s="173" t="s">
        <v>191</v>
      </c>
      <c r="B23" s="175"/>
      <c r="C23" s="47">
        <f>+C21+C22</f>
        <v>487.7889</v>
      </c>
      <c r="D23" s="47">
        <f>+D21+D22</f>
        <v>464.177</v>
      </c>
    </row>
    <row r="24" spans="1:4" ht="12.75">
      <c r="A24" s="173" t="s">
        <v>224</v>
      </c>
      <c r="B24" s="175"/>
      <c r="C24" s="47">
        <f>-C23*B12</f>
        <v>-161.30925804749342</v>
      </c>
      <c r="D24" s="47">
        <f>-D23*B12</f>
        <v>-153.50092524186456</v>
      </c>
    </row>
    <row r="25" spans="1:4" ht="12.75">
      <c r="A25" s="173" t="s">
        <v>207</v>
      </c>
      <c r="B25" s="175"/>
      <c r="C25" s="47">
        <f>+C23+C24</f>
        <v>326.4796419525066</v>
      </c>
      <c r="D25" s="47">
        <f>+D23+D24</f>
        <v>310.6760747581354</v>
      </c>
    </row>
    <row r="26" spans="1:4" ht="12.75">
      <c r="A26" s="173" t="s">
        <v>223</v>
      </c>
      <c r="B26" s="175"/>
      <c r="C26" s="47">
        <f>+'MARG CONTRIB'!E22</f>
        <v>-267.56278100263853</v>
      </c>
      <c r="D26" s="47">
        <f>+C26</f>
        <v>-267.56278100263853</v>
      </c>
    </row>
    <row r="27" spans="1:4" ht="12.75">
      <c r="A27" s="173" t="s">
        <v>77</v>
      </c>
      <c r="B27" s="175"/>
      <c r="C27" s="47">
        <f>+C25+C26</f>
        <v>58.91686094986807</v>
      </c>
      <c r="D27" s="47">
        <f>+D25+D26</f>
        <v>43.1132937554969</v>
      </c>
    </row>
    <row r="28" spans="1:4" ht="12.75">
      <c r="A28" s="176" t="s">
        <v>222</v>
      </c>
      <c r="B28" s="177"/>
      <c r="C28" s="110">
        <f>-C27/B14+1</f>
        <v>0.22579683377308735</v>
      </c>
      <c r="D28" s="110">
        <f>-D27/B14+1</f>
        <v>0.4334652594547058</v>
      </c>
    </row>
    <row r="29" spans="1:4" ht="12.75">
      <c r="A29" s="79"/>
      <c r="B29" s="164">
        <v>1999</v>
      </c>
      <c r="C29" s="178"/>
      <c r="D29" s="178"/>
    </row>
    <row r="30" spans="1:4" ht="12.75">
      <c r="A30" s="42" t="s">
        <v>221</v>
      </c>
      <c r="B30" s="47">
        <v>302.1</v>
      </c>
      <c r="C30" s="47"/>
      <c r="D30" s="47"/>
    </row>
    <row r="31" spans="1:4" ht="12.75">
      <c r="A31" s="42" t="s">
        <v>220</v>
      </c>
      <c r="B31" s="47">
        <v>738.6</v>
      </c>
      <c r="C31" s="47"/>
      <c r="D31" s="47"/>
    </row>
    <row r="32" spans="1:4" ht="12.75">
      <c r="A32" s="42" t="s">
        <v>80</v>
      </c>
      <c r="B32" s="47">
        <f>+B30+B31</f>
        <v>1040.7</v>
      </c>
      <c r="C32" s="111"/>
      <c r="D32" s="111"/>
    </row>
    <row r="33" spans="1:4" ht="12.75">
      <c r="A33" s="60" t="s">
        <v>219</v>
      </c>
      <c r="B33" s="111"/>
      <c r="C33" s="111"/>
      <c r="D33" s="111"/>
    </row>
    <row r="34" spans="1:4" ht="12.75">
      <c r="A34" s="42" t="s">
        <v>114</v>
      </c>
      <c r="B34" s="101">
        <v>0.073</v>
      </c>
      <c r="C34" s="179">
        <f>+C27/B32</f>
        <v>0.056612723118927705</v>
      </c>
      <c r="D34" s="179">
        <f>+D27/B32</f>
        <v>0.04142720645286528</v>
      </c>
    </row>
    <row r="35" spans="1:4" ht="12.75">
      <c r="A35" s="69" t="s">
        <v>218</v>
      </c>
      <c r="B35" s="109"/>
      <c r="C35" s="110">
        <f>-C34/B34+1</f>
        <v>0.22448324494619576</v>
      </c>
      <c r="D35" s="110">
        <f>-D34/B34+1</f>
        <v>0.4325040211936263</v>
      </c>
    </row>
    <row r="36" spans="1:4" ht="12.75">
      <c r="A36" s="79" t="s">
        <v>79</v>
      </c>
      <c r="B36" s="178">
        <f>+'EST PATR REORD'!E29</f>
        <v>320.5</v>
      </c>
      <c r="C36" s="107"/>
      <c r="D36" s="107"/>
    </row>
    <row r="37" spans="1:4" ht="12.75">
      <c r="A37" s="42" t="s">
        <v>78</v>
      </c>
      <c r="B37" s="47">
        <f>+B32-B36</f>
        <v>720.2</v>
      </c>
      <c r="C37" s="111"/>
      <c r="D37" s="111"/>
    </row>
    <row r="38" spans="1:4" ht="12.75">
      <c r="A38" s="42" t="s">
        <v>217</v>
      </c>
      <c r="B38" s="47">
        <v>24.4</v>
      </c>
      <c r="C38" s="111"/>
      <c r="D38" s="111"/>
    </row>
    <row r="39" spans="1:4" ht="12.75">
      <c r="A39" s="42" t="s">
        <v>45</v>
      </c>
      <c r="B39" s="47">
        <f>+B14-B38</f>
        <v>51.700000000000024</v>
      </c>
      <c r="C39" s="111"/>
      <c r="D39" s="111"/>
    </row>
    <row r="40" spans="1:4" ht="12.75">
      <c r="A40" s="45" t="s">
        <v>210</v>
      </c>
      <c r="B40" s="110">
        <f>+B39/B37</f>
        <v>0.07178561510691478</v>
      </c>
      <c r="C40" s="111"/>
      <c r="D40" s="111"/>
    </row>
    <row r="41" spans="1:4" ht="25.5">
      <c r="A41" s="139" t="s">
        <v>216</v>
      </c>
      <c r="B41" s="180">
        <f>+B17</f>
        <v>0.22599999999999998</v>
      </c>
      <c r="C41" s="111"/>
      <c r="D41" s="111"/>
    </row>
    <row r="42" spans="1:4" ht="12.75">
      <c r="A42" s="139" t="s">
        <v>215</v>
      </c>
      <c r="B42" s="181">
        <v>1.47</v>
      </c>
      <c r="C42" s="111"/>
      <c r="D42" s="111"/>
    </row>
    <row r="43" spans="1:4" ht="25.5">
      <c r="A43" s="182" t="s">
        <v>214</v>
      </c>
      <c r="B43" s="183">
        <f>+B41*B42</f>
        <v>0.33221999999999996</v>
      </c>
      <c r="C43" s="109"/>
      <c r="D43" s="109"/>
    </row>
    <row r="44" spans="1:4" ht="12.75">
      <c r="A44" s="184" t="s">
        <v>213</v>
      </c>
      <c r="B44" s="107"/>
      <c r="C44" s="178">
        <f>+B38</f>
        <v>24.4</v>
      </c>
      <c r="D44" s="178">
        <f>+B38</f>
        <v>24.4</v>
      </c>
    </row>
    <row r="45" spans="1:4" ht="12.75">
      <c r="A45" s="42" t="s">
        <v>45</v>
      </c>
      <c r="B45" s="111"/>
      <c r="C45" s="47">
        <f>+C27-B38</f>
        <v>34.51686094986807</v>
      </c>
      <c r="D45" s="47">
        <f>+D27-B38</f>
        <v>18.7132937554969</v>
      </c>
    </row>
    <row r="46" spans="1:4" ht="12.75">
      <c r="A46" s="69" t="s">
        <v>212</v>
      </c>
      <c r="B46" s="109"/>
      <c r="C46" s="110">
        <f>-C45/B39+1</f>
        <v>0.33236245744936066</v>
      </c>
      <c r="D46" s="110">
        <f>-D45/B39+1</f>
        <v>0.6380407397389383</v>
      </c>
    </row>
    <row r="47" spans="1:4" ht="38.25">
      <c r="A47" s="185" t="s">
        <v>211</v>
      </c>
      <c r="B47" s="107"/>
      <c r="C47" s="107"/>
      <c r="D47" s="107"/>
    </row>
    <row r="48" spans="1:4" ht="12.75">
      <c r="A48" s="42" t="s">
        <v>210</v>
      </c>
      <c r="B48" s="111"/>
      <c r="C48" s="101">
        <f>+C45/B37</f>
        <v>0.047926771660466626</v>
      </c>
      <c r="D48" s="101">
        <f>+D45/B37</f>
        <v>0.025983468141484167</v>
      </c>
    </row>
    <row r="49" spans="1:4" ht="12.75">
      <c r="A49" s="69" t="s">
        <v>209</v>
      </c>
      <c r="B49" s="109"/>
      <c r="C49" s="110">
        <f>-C48/B40+1</f>
        <v>0.33236245744936077</v>
      </c>
      <c r="D49" s="110">
        <f>-D48/B40+1</f>
        <v>0.6380407397389383</v>
      </c>
    </row>
  </sheetData>
  <sheetProtection sheet="1" objects="1" scenarios="1"/>
  <mergeCells count="2">
    <mergeCell ref="C19:D19"/>
    <mergeCell ref="C18:D18"/>
  </mergeCells>
  <printOptions/>
  <pageMargins left="0.75" right="0.75" top="1" bottom="1" header="0" footer="0"/>
  <pageSetup orientation="portrait" paperSize="9"/>
</worksheet>
</file>

<file path=xl/worksheets/sheet26.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9.7109375" style="0" customWidth="1"/>
    <col min="2" max="2" width="65.7109375" style="0" customWidth="1"/>
  </cols>
  <sheetData>
    <row r="1" ht="12.75">
      <c r="A1" s="36" t="str">
        <f>+VENTAS!A1</f>
        <v>AFIC - Ejercicio de Aplicación 1</v>
      </c>
    </row>
    <row r="2" ht="12.75">
      <c r="A2" s="36" t="str">
        <f>+VENTAS!A2</f>
        <v>SIDERAR S.A.</v>
      </c>
    </row>
    <row r="3" ht="12.75">
      <c r="B3" s="35" t="s">
        <v>329</v>
      </c>
    </row>
    <row r="4" ht="12.75">
      <c r="B4" s="29" t="s">
        <v>330</v>
      </c>
    </row>
    <row r="5" ht="12.75">
      <c r="B5" s="29"/>
    </row>
    <row r="6" ht="25.5">
      <c r="B6" s="29" t="s">
        <v>331</v>
      </c>
    </row>
    <row r="7" ht="13.5" thickBot="1"/>
    <row r="8" spans="1:2" ht="24.75" thickBot="1">
      <c r="A8" s="30" t="s">
        <v>304</v>
      </c>
      <c r="B8" s="31"/>
    </row>
    <row r="10" ht="25.5">
      <c r="B10" s="29" t="s">
        <v>332</v>
      </c>
    </row>
    <row r="11" ht="13.5" thickBot="1"/>
    <row r="12" spans="1:2" ht="24.75" thickBot="1">
      <c r="A12" s="30" t="s">
        <v>304</v>
      </c>
      <c r="B12" s="31"/>
    </row>
  </sheetData>
  <sheetProtection sheet="1" objects="1" scenarios="1"/>
  <printOptions/>
  <pageMargins left="0.75" right="0.75" top="1" bottom="1" header="0" footer="0"/>
  <pageSetup orientation="portrait" paperSize="9"/>
</worksheet>
</file>

<file path=xl/worksheets/sheet27.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11.421875" defaultRowHeight="12.75"/>
  <cols>
    <col min="1" max="1" width="40.7109375" style="49" customWidth="1"/>
    <col min="2" max="4" width="8.7109375" style="49" customWidth="1"/>
    <col min="5" max="16384" width="11.421875" style="49" customWidth="1"/>
  </cols>
  <sheetData>
    <row r="1" spans="1:3" ht="12.75">
      <c r="A1" s="36" t="str">
        <f>+VENTAS!A1</f>
        <v>AFIC - Ejercicio de Aplicación 1</v>
      </c>
      <c r="B1" s="37"/>
      <c r="C1" s="37"/>
    </row>
    <row r="2" spans="1:3" ht="12.75">
      <c r="A2" s="36" t="str">
        <f>+VENTAS!A2</f>
        <v>SIDERAR S.A.</v>
      </c>
      <c r="B2" s="37"/>
      <c r="C2" s="37"/>
    </row>
    <row r="3" spans="1:4" ht="12.75">
      <c r="A3" s="37"/>
      <c r="B3" s="37"/>
      <c r="C3" s="37"/>
      <c r="D3" s="73" t="s">
        <v>305</v>
      </c>
    </row>
    <row r="4" spans="1:4" ht="12.75">
      <c r="A4" s="38" t="s">
        <v>251</v>
      </c>
      <c r="B4" s="39"/>
      <c r="C4" s="39"/>
      <c r="D4" s="50"/>
    </row>
    <row r="5" spans="1:4" ht="12.75">
      <c r="A5" s="79"/>
      <c r="B5" s="41">
        <v>1997</v>
      </c>
      <c r="C5" s="41">
        <v>1998</v>
      </c>
      <c r="D5" s="51">
        <v>1999</v>
      </c>
    </row>
    <row r="6" spans="1:4" ht="12.75">
      <c r="A6" s="42" t="s">
        <v>250</v>
      </c>
      <c r="B6" s="131"/>
      <c r="C6" s="131"/>
      <c r="D6" s="127"/>
    </row>
    <row r="7" spans="1:4" ht="12.75">
      <c r="A7" s="42" t="s">
        <v>77</v>
      </c>
      <c r="B7" s="47">
        <f>+'EST RESULT REORD'!C39</f>
        <v>114.07499999999996</v>
      </c>
      <c r="C7" s="47">
        <f>+'EST RESULT REORD'!D39</f>
        <v>136.695</v>
      </c>
      <c r="D7" s="56"/>
    </row>
    <row r="8" spans="1:4" ht="12.75">
      <c r="A8" s="42" t="s">
        <v>249</v>
      </c>
      <c r="B8" s="48">
        <f>-'RENDIM OPERAT'!C7+'RENDIM OPERAT'!B7</f>
        <v>25</v>
      </c>
      <c r="C8" s="48">
        <f>-'RENDIM OPERAT'!D7+'RENDIM OPERAT'!C7</f>
        <v>-73.0999999999998</v>
      </c>
      <c r="D8" s="57"/>
    </row>
    <row r="9" spans="1:4" ht="12.75">
      <c r="A9" s="60" t="s">
        <v>234</v>
      </c>
      <c r="B9" s="61">
        <f>+B7+B8</f>
        <v>139.07499999999996</v>
      </c>
      <c r="C9" s="61">
        <f>+C7+C8</f>
        <v>63.5950000000002</v>
      </c>
      <c r="D9" s="58"/>
    </row>
    <row r="10" spans="1:4" ht="12.75">
      <c r="A10" s="42" t="s">
        <v>245</v>
      </c>
      <c r="B10" s="47"/>
      <c r="C10" s="47"/>
      <c r="D10" s="56"/>
    </row>
    <row r="11" spans="1:4" ht="12.75">
      <c r="A11" s="42" t="s">
        <v>248</v>
      </c>
      <c r="B11" s="47">
        <f>+'EST RESULT REORD'!C42</f>
        <v>-21.775</v>
      </c>
      <c r="C11" s="47">
        <f>+'EST RESULT REORD'!D42</f>
        <v>-19.095</v>
      </c>
      <c r="D11" s="56"/>
    </row>
    <row r="12" spans="1:4" ht="12.75">
      <c r="A12" s="42" t="s">
        <v>247</v>
      </c>
      <c r="B12" s="48">
        <f>+'EST PATR REORD'!C29-'EST PATR REORD'!B29</f>
        <v>-99.29999999999995</v>
      </c>
      <c r="C12" s="48">
        <f>+'EST PATR REORD'!D29-'EST PATR REORD'!C29</f>
        <v>-16.500000000000057</v>
      </c>
      <c r="D12" s="57"/>
    </row>
    <row r="13" spans="1:4" ht="12.75">
      <c r="A13" s="42" t="s">
        <v>246</v>
      </c>
      <c r="B13" s="47">
        <f>+B11+B12</f>
        <v>-121.07499999999996</v>
      </c>
      <c r="C13" s="47">
        <f>+C11+C12</f>
        <v>-35.595000000000056</v>
      </c>
      <c r="D13" s="56"/>
    </row>
    <row r="14" spans="1:4" ht="12.75">
      <c r="A14" s="42" t="s">
        <v>44</v>
      </c>
      <c r="B14" s="48">
        <f>-B21</f>
        <v>-18</v>
      </c>
      <c r="C14" s="48">
        <f>-C21</f>
        <v>-28</v>
      </c>
      <c r="D14" s="57"/>
    </row>
    <row r="15" spans="1:4" ht="12.75">
      <c r="A15" s="69" t="s">
        <v>245</v>
      </c>
      <c r="B15" s="70">
        <f>+B13+B14</f>
        <v>-139.07499999999996</v>
      </c>
      <c r="C15" s="70">
        <f>+C13+C14</f>
        <v>-63.595000000000056</v>
      </c>
      <c r="D15" s="67"/>
    </row>
    <row r="16" spans="1:4" ht="12.75">
      <c r="A16" s="39"/>
      <c r="B16" s="39"/>
      <c r="C16" s="39"/>
      <c r="D16" s="50"/>
    </row>
    <row r="17" spans="1:4" ht="12.75">
      <c r="A17" s="79" t="s">
        <v>244</v>
      </c>
      <c r="B17" s="178">
        <f>+'EST PATR REORD'!B31</f>
        <v>537.6</v>
      </c>
      <c r="C17" s="178">
        <f>+'EST PATR REORD'!C31</f>
        <v>611.9</v>
      </c>
      <c r="D17" s="162"/>
    </row>
    <row r="18" spans="1:4" ht="12.75">
      <c r="A18" s="42" t="s">
        <v>45</v>
      </c>
      <c r="B18" s="47">
        <f>+'EST RESULT REORD'!C43</f>
        <v>92.29999999999995</v>
      </c>
      <c r="C18" s="47">
        <f>+'EST RESULT REORD'!D43</f>
        <v>117.6</v>
      </c>
      <c r="D18" s="56"/>
    </row>
    <row r="19" spans="1:4" ht="12.75">
      <c r="A19" s="42" t="s">
        <v>243</v>
      </c>
      <c r="B19" s="47">
        <f>+B17+B18</f>
        <v>629.9</v>
      </c>
      <c r="C19" s="47">
        <f>+C17+C18</f>
        <v>729.5</v>
      </c>
      <c r="D19" s="56"/>
    </row>
    <row r="20" spans="1:4" ht="12.75">
      <c r="A20" s="42" t="s">
        <v>242</v>
      </c>
      <c r="B20" s="47">
        <f>+'EST PATR REORD'!C31</f>
        <v>611.9</v>
      </c>
      <c r="C20" s="47">
        <f>+'EST PATR REORD'!D31</f>
        <v>701.5</v>
      </c>
      <c r="D20" s="56"/>
    </row>
    <row r="21" spans="1:4" ht="12.75">
      <c r="A21" s="45" t="s">
        <v>44</v>
      </c>
      <c r="B21" s="48">
        <f>+B19-B20</f>
        <v>18</v>
      </c>
      <c r="C21" s="48">
        <f>+C19-C20</f>
        <v>28</v>
      </c>
      <c r="D21" s="57"/>
    </row>
    <row r="22" spans="1:4" ht="12.75">
      <c r="A22" s="39"/>
      <c r="B22" s="39"/>
      <c r="C22" s="39"/>
      <c r="D22" s="50"/>
    </row>
    <row r="23" spans="1:4" ht="12.75">
      <c r="A23" s="79"/>
      <c r="B23" s="41">
        <v>1997</v>
      </c>
      <c r="C23" s="41">
        <v>1998</v>
      </c>
      <c r="D23" s="51">
        <v>1999</v>
      </c>
    </row>
    <row r="24" spans="1:4" ht="12.75">
      <c r="A24" s="42" t="s">
        <v>77</v>
      </c>
      <c r="B24" s="47">
        <f>+B7</f>
        <v>114.07499999999996</v>
      </c>
      <c r="C24" s="47">
        <f>+C7</f>
        <v>136.695</v>
      </c>
      <c r="D24" s="56"/>
    </row>
    <row r="25" spans="1:4" ht="12.75">
      <c r="A25" s="42" t="s">
        <v>241</v>
      </c>
      <c r="B25" s="47">
        <f>+GASTOS!I10</f>
        <v>62.900000000000006</v>
      </c>
      <c r="C25" s="47">
        <f>+GASTOS!E16</f>
        <v>65.1</v>
      </c>
      <c r="D25" s="56"/>
    </row>
    <row r="26" spans="1:4" ht="12.75">
      <c r="A26" s="42" t="s">
        <v>240</v>
      </c>
      <c r="B26" s="47">
        <f>SUM(B24:B25)</f>
        <v>176.97499999999997</v>
      </c>
      <c r="C26" s="47">
        <f>SUM(C24:C25)</f>
        <v>201.795</v>
      </c>
      <c r="D26" s="56"/>
    </row>
    <row r="27" spans="1:4" ht="12.75">
      <c r="A27" s="42" t="s">
        <v>239</v>
      </c>
      <c r="B27" s="48">
        <f>+ROTACION!B14-ROTACION!C14</f>
        <v>17.400000000000006</v>
      </c>
      <c r="C27" s="48">
        <f>+ROTACION!C14-ROTACION!D14</f>
        <v>-35.500000000000114</v>
      </c>
      <c r="D27" s="57"/>
    </row>
    <row r="28" spans="1:4" ht="12.75">
      <c r="A28" s="69" t="s">
        <v>238</v>
      </c>
      <c r="B28" s="70">
        <f>+B26+B27</f>
        <v>194.37499999999997</v>
      </c>
      <c r="C28" s="70">
        <f>+C26+C27</f>
        <v>166.29499999999987</v>
      </c>
      <c r="D28" s="67"/>
    </row>
    <row r="29" spans="1:4" ht="12.75">
      <c r="A29" s="42" t="s">
        <v>237</v>
      </c>
      <c r="B29" s="47">
        <f>+ROTACION!B21-ROTACION!C21</f>
        <v>7.600000000000023</v>
      </c>
      <c r="C29" s="47">
        <f>+ROTACION!C21-ROTACION!D21</f>
        <v>-37.60000000000002</v>
      </c>
      <c r="D29" s="56"/>
    </row>
    <row r="30" spans="1:4" ht="12.75">
      <c r="A30" s="42" t="s">
        <v>236</v>
      </c>
      <c r="B30" s="48">
        <f>-B25</f>
        <v>-62.900000000000006</v>
      </c>
      <c r="C30" s="48">
        <f>-C25</f>
        <v>-65.1</v>
      </c>
      <c r="D30" s="57"/>
    </row>
    <row r="31" spans="1:4" ht="12.75">
      <c r="A31" s="60" t="s">
        <v>235</v>
      </c>
      <c r="B31" s="62">
        <f>+B29+B30</f>
        <v>-55.29999999999998</v>
      </c>
      <c r="C31" s="62">
        <f>+C29+C30</f>
        <v>-102.70000000000002</v>
      </c>
      <c r="D31" s="59"/>
    </row>
    <row r="32" spans="1:4" ht="12.75">
      <c r="A32" s="69" t="s">
        <v>234</v>
      </c>
      <c r="B32" s="70">
        <f>+B28+B31</f>
        <v>139.075</v>
      </c>
      <c r="C32" s="70">
        <f>+C28+C31</f>
        <v>63.59499999999986</v>
      </c>
      <c r="D32" s="67"/>
    </row>
  </sheetData>
  <sheetProtection sheet="1" objects="1" scenarios="1"/>
  <printOptions/>
  <pageMargins left="0.75" right="0.75" top="1" bottom="1" header="0" footer="0"/>
  <pageSetup orientation="portrait" paperSize="9"/>
</worksheet>
</file>

<file path=xl/worksheets/sheet28.xml><?xml version="1.0" encoding="utf-8"?>
<worksheet xmlns="http://schemas.openxmlformats.org/spreadsheetml/2006/main" xmlns:r="http://schemas.openxmlformats.org/officeDocument/2006/relationships">
  <dimension ref="A1:B16"/>
  <sheetViews>
    <sheetView workbookViewId="0" topLeftCell="A1">
      <selection activeCell="A1" sqref="A1"/>
    </sheetView>
  </sheetViews>
  <sheetFormatPr defaultColWidth="11.421875" defaultRowHeight="12.75"/>
  <cols>
    <col min="1" max="1" width="9.7109375" style="0" customWidth="1"/>
    <col min="2" max="2" width="65.7109375" style="0" customWidth="1"/>
  </cols>
  <sheetData>
    <row r="1" ht="12.75">
      <c r="A1" s="36" t="str">
        <f>+VENTAS!A1</f>
        <v>AFIC - Ejercicio de Aplicación 1</v>
      </c>
    </row>
    <row r="2" ht="12.75">
      <c r="A2" s="36" t="str">
        <f>+VENTAS!A2</f>
        <v>SIDERAR S.A.</v>
      </c>
    </row>
    <row r="3" ht="12.75">
      <c r="B3" s="35" t="s">
        <v>324</v>
      </c>
    </row>
    <row r="4" ht="12.75">
      <c r="B4" s="29" t="s">
        <v>333</v>
      </c>
    </row>
    <row r="5" ht="12.75">
      <c r="B5" s="29"/>
    </row>
    <row r="6" ht="38.25">
      <c r="B6" s="29" t="s">
        <v>334</v>
      </c>
    </row>
    <row r="7" ht="13.5" thickBot="1"/>
    <row r="8" spans="1:2" ht="24.75" thickBot="1">
      <c r="A8" s="30" t="s">
        <v>304</v>
      </c>
      <c r="B8" s="31"/>
    </row>
    <row r="10" ht="51">
      <c r="B10" s="29" t="s">
        <v>335</v>
      </c>
    </row>
    <row r="11" ht="13.5" thickBot="1"/>
    <row r="12" spans="1:2" ht="24.75" thickBot="1">
      <c r="A12" s="30" t="s">
        <v>304</v>
      </c>
      <c r="B12" s="31"/>
    </row>
    <row r="14" ht="51">
      <c r="B14" s="29" t="s">
        <v>336</v>
      </c>
    </row>
    <row r="15" ht="13.5" thickBot="1"/>
    <row r="16" spans="1:2" ht="24.75" thickBot="1">
      <c r="A16" s="30" t="s">
        <v>304</v>
      </c>
      <c r="B16" s="31"/>
    </row>
  </sheetData>
  <sheetProtection sheet="1" objects="1" scenarios="1"/>
  <printOptions/>
  <pageMargins left="0.75" right="0.75" top="1" bottom="1" header="0" footer="0"/>
  <pageSetup orientation="portrait" paperSize="9"/>
</worksheet>
</file>

<file path=xl/worksheets/sheet29.xml><?xml version="1.0" encoding="utf-8"?>
<worksheet xmlns="http://schemas.openxmlformats.org/spreadsheetml/2006/main" xmlns:r="http://schemas.openxmlformats.org/officeDocument/2006/relationships">
  <dimension ref="A1:E8"/>
  <sheetViews>
    <sheetView workbookViewId="0" topLeftCell="A1">
      <selection activeCell="A1" sqref="A1"/>
    </sheetView>
  </sheetViews>
  <sheetFormatPr defaultColWidth="11.421875" defaultRowHeight="12.75"/>
  <cols>
    <col min="1" max="1" width="20.7109375" style="0" customWidth="1"/>
    <col min="2" max="5" width="8.7109375" style="0" customWidth="1"/>
  </cols>
  <sheetData>
    <row r="1" ht="12.75">
      <c r="A1" s="36" t="str">
        <f>+VENTAS!A1</f>
        <v>AFIC - Ejercicio de Aplicación 1</v>
      </c>
    </row>
    <row r="2" ht="12.75">
      <c r="A2" s="36" t="str">
        <f>+VENTAS!A2</f>
        <v>SIDERAR S.A.</v>
      </c>
    </row>
    <row r="4" spans="1:5" ht="12.75">
      <c r="A4" s="17" t="s">
        <v>252</v>
      </c>
      <c r="B4" s="16"/>
      <c r="C4" s="16"/>
      <c r="D4" s="16"/>
      <c r="E4" s="16"/>
    </row>
    <row r="5" spans="1:5" ht="12.75">
      <c r="A5" s="20"/>
      <c r="B5" s="15">
        <v>1996</v>
      </c>
      <c r="C5" s="15">
        <v>1997</v>
      </c>
      <c r="D5" s="15">
        <v>1998</v>
      </c>
      <c r="E5" s="15">
        <v>1999</v>
      </c>
    </row>
    <row r="6" spans="1:5" ht="12.75">
      <c r="A6" s="13" t="s">
        <v>10</v>
      </c>
      <c r="B6" s="21">
        <f>+B8-B7</f>
        <v>124.8</v>
      </c>
      <c r="C6" s="21">
        <f>+C8-C7</f>
        <v>116.5</v>
      </c>
      <c r="D6" s="21">
        <f>+D8-D7</f>
        <v>133.2</v>
      </c>
      <c r="E6" s="21">
        <f>+E8-E7</f>
        <v>111.60000000000001</v>
      </c>
    </row>
    <row r="7" spans="1:5" ht="12.75">
      <c r="A7" s="13" t="s">
        <v>9</v>
      </c>
      <c r="B7" s="11">
        <v>31.2</v>
      </c>
      <c r="C7" s="11">
        <v>28.5</v>
      </c>
      <c r="D7" s="11">
        <v>30.8</v>
      </c>
      <c r="E7" s="11">
        <v>61.8</v>
      </c>
    </row>
    <row r="8" spans="1:5" ht="12.75">
      <c r="A8" s="12" t="s">
        <v>8</v>
      </c>
      <c r="B8" s="23">
        <f>+'EST PATRIM'!B9</f>
        <v>156</v>
      </c>
      <c r="C8" s="23">
        <f>+'EST PATRIM'!C9</f>
        <v>145</v>
      </c>
      <c r="D8" s="23">
        <f>+'EST PATRIM'!D9</f>
        <v>164</v>
      </c>
      <c r="E8" s="23">
        <f>+'EST PATRIM'!E9</f>
        <v>173.4</v>
      </c>
    </row>
  </sheetData>
  <sheetProtection sheet="1" objects="1" scenarios="1"/>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11.421875" defaultRowHeight="12.75"/>
  <cols>
    <col min="1" max="1" width="28.7109375" style="49" customWidth="1"/>
    <col min="2" max="5" width="8.7109375" style="49" customWidth="1"/>
    <col min="6" max="16384" width="11.421875" style="49" customWidth="1"/>
  </cols>
  <sheetData>
    <row r="1" spans="1:5" ht="12.75">
      <c r="A1" s="36" t="str">
        <f>+VENTAS!A1</f>
        <v>AFIC - Ejercicio de Aplicación 1</v>
      </c>
      <c r="B1" s="37"/>
      <c r="C1" s="37"/>
      <c r="D1" s="37"/>
      <c r="E1" s="37"/>
    </row>
    <row r="2" spans="1:5" ht="12.75">
      <c r="A2" s="36" t="str">
        <f>+VENTAS!A2</f>
        <v>SIDERAR S.A.</v>
      </c>
      <c r="B2" s="37"/>
      <c r="C2" s="37"/>
      <c r="D2" s="37"/>
      <c r="E2" s="37"/>
    </row>
    <row r="3" spans="1:5" ht="12.75">
      <c r="A3" s="37"/>
      <c r="B3" s="37"/>
      <c r="C3" s="37"/>
      <c r="D3" s="37"/>
      <c r="E3" s="37"/>
    </row>
    <row r="4" spans="1:5" ht="12.75">
      <c r="A4" s="38" t="s">
        <v>37</v>
      </c>
      <c r="B4" s="39"/>
      <c r="C4" s="39"/>
      <c r="D4" s="39"/>
      <c r="E4" s="39"/>
    </row>
    <row r="5" spans="1:5" ht="12.75">
      <c r="A5" s="39"/>
      <c r="B5" s="39" t="s">
        <v>36</v>
      </c>
      <c r="C5" s="39"/>
      <c r="D5" s="39"/>
      <c r="E5" s="39"/>
    </row>
    <row r="6" spans="1:5" ht="12.75">
      <c r="A6" s="40"/>
      <c r="B6" s="41">
        <v>1996</v>
      </c>
      <c r="C6" s="41">
        <v>1997</v>
      </c>
      <c r="D6" s="41">
        <v>1998</v>
      </c>
      <c r="E6" s="41">
        <v>1999</v>
      </c>
    </row>
    <row r="7" spans="1:5" ht="12.75">
      <c r="A7" s="42" t="s">
        <v>35</v>
      </c>
      <c r="B7" s="47"/>
      <c r="C7" s="47"/>
      <c r="D7" s="47"/>
      <c r="E7" s="47"/>
    </row>
    <row r="8" spans="1:5" ht="12.75">
      <c r="A8" s="42" t="s">
        <v>34</v>
      </c>
      <c r="B8" s="47">
        <v>12.1</v>
      </c>
      <c r="C8" s="47">
        <v>9.4</v>
      </c>
      <c r="D8" s="47">
        <v>5.9</v>
      </c>
      <c r="E8" s="47">
        <v>3.7</v>
      </c>
    </row>
    <row r="9" spans="1:5" ht="12.75">
      <c r="A9" s="42" t="s">
        <v>33</v>
      </c>
      <c r="B9" s="47">
        <v>156</v>
      </c>
      <c r="C9" s="47">
        <v>145</v>
      </c>
      <c r="D9" s="47">
        <v>164</v>
      </c>
      <c r="E9" s="47">
        <v>173.4</v>
      </c>
    </row>
    <row r="10" spans="1:5" ht="12.75">
      <c r="A10" s="42" t="s">
        <v>32</v>
      </c>
      <c r="B10" s="47">
        <v>15</v>
      </c>
      <c r="C10" s="47">
        <v>12</v>
      </c>
      <c r="D10" s="47">
        <v>20</v>
      </c>
      <c r="E10" s="47">
        <v>23</v>
      </c>
    </row>
    <row r="11" spans="1:5" ht="12.75">
      <c r="A11" s="42" t="s">
        <v>31</v>
      </c>
      <c r="B11" s="48">
        <v>226.3</v>
      </c>
      <c r="C11" s="48">
        <v>238.5</v>
      </c>
      <c r="D11" s="48">
        <v>253.3</v>
      </c>
      <c r="E11" s="48">
        <v>257.5</v>
      </c>
    </row>
    <row r="12" spans="1:5" ht="12.75">
      <c r="A12" s="60" t="s">
        <v>30</v>
      </c>
      <c r="B12" s="61">
        <f>SUM(B8:B11)</f>
        <v>409.4</v>
      </c>
      <c r="C12" s="61">
        <f>SUM(C8:C11)</f>
        <v>404.9</v>
      </c>
      <c r="D12" s="61">
        <f>SUM(D8:D11)</f>
        <v>443.20000000000005</v>
      </c>
      <c r="E12" s="61">
        <f>SUM(E8:E11)</f>
        <v>457.6</v>
      </c>
    </row>
    <row r="13" spans="1:5" ht="12.75">
      <c r="A13" s="42" t="s">
        <v>29</v>
      </c>
      <c r="B13" s="47">
        <v>655.5</v>
      </c>
      <c r="C13" s="47">
        <v>656.5</v>
      </c>
      <c r="D13" s="47">
        <v>679.4</v>
      </c>
      <c r="E13" s="47">
        <v>710.4</v>
      </c>
    </row>
    <row r="14" spans="1:5" ht="12.75">
      <c r="A14" s="42" t="s">
        <v>28</v>
      </c>
      <c r="B14" s="48">
        <v>45</v>
      </c>
      <c r="C14" s="48">
        <v>38</v>
      </c>
      <c r="D14" s="48">
        <v>49</v>
      </c>
      <c r="E14" s="48">
        <v>41</v>
      </c>
    </row>
    <row r="15" spans="1:5" ht="12.75">
      <c r="A15" s="60" t="s">
        <v>27</v>
      </c>
      <c r="B15" s="62">
        <f>SUM(B13:B14)</f>
        <v>700.5</v>
      </c>
      <c r="C15" s="62">
        <f>SUM(C13:C14)</f>
        <v>694.5</v>
      </c>
      <c r="D15" s="62">
        <f>SUM(D13:D14)</f>
        <v>728.4</v>
      </c>
      <c r="E15" s="62">
        <f>SUM(E13:E14)</f>
        <v>751.4</v>
      </c>
    </row>
    <row r="16" spans="1:5" ht="12.75">
      <c r="A16" s="63" t="s">
        <v>26</v>
      </c>
      <c r="B16" s="64">
        <f>+B12+B15</f>
        <v>1109.9</v>
      </c>
      <c r="C16" s="64">
        <f>+C12+C15</f>
        <v>1099.4</v>
      </c>
      <c r="D16" s="64">
        <f>+D12+D15</f>
        <v>1171.6</v>
      </c>
      <c r="E16" s="64">
        <f>+E12+E15</f>
        <v>1209</v>
      </c>
    </row>
    <row r="17" spans="1:5" ht="12.75">
      <c r="A17" s="42" t="s">
        <v>25</v>
      </c>
      <c r="B17" s="47"/>
      <c r="C17" s="47"/>
      <c r="D17" s="47"/>
      <c r="E17" s="47"/>
    </row>
    <row r="18" spans="1:5" ht="12.75">
      <c r="A18" s="42" t="s">
        <v>24</v>
      </c>
      <c r="B18" s="47">
        <v>135.3</v>
      </c>
      <c r="C18" s="47">
        <v>139.4</v>
      </c>
      <c r="D18" s="47">
        <v>133.9</v>
      </c>
      <c r="E18" s="47">
        <v>104</v>
      </c>
    </row>
    <row r="19" spans="1:5" ht="12.75">
      <c r="A19" s="42" t="s">
        <v>18</v>
      </c>
      <c r="B19" s="47">
        <v>194.6</v>
      </c>
      <c r="C19" s="47">
        <v>72.4</v>
      </c>
      <c r="D19" s="47">
        <v>49.6</v>
      </c>
      <c r="E19" s="47">
        <v>103.2</v>
      </c>
    </row>
    <row r="20" spans="1:5" ht="12.75">
      <c r="A20" s="42" t="s">
        <v>23</v>
      </c>
      <c r="B20" s="47">
        <v>25</v>
      </c>
      <c r="C20" s="47">
        <v>31</v>
      </c>
      <c r="D20" s="47">
        <v>37.8</v>
      </c>
      <c r="E20" s="47">
        <v>37</v>
      </c>
    </row>
    <row r="21" spans="1:5" ht="12.75">
      <c r="A21" s="42" t="s">
        <v>22</v>
      </c>
      <c r="B21" s="47">
        <v>9</v>
      </c>
      <c r="C21" s="47">
        <v>11</v>
      </c>
      <c r="D21" s="47">
        <f>50-D20</f>
        <v>12.200000000000003</v>
      </c>
      <c r="E21" s="47">
        <v>4</v>
      </c>
    </row>
    <row r="22" spans="1:5" ht="12.75">
      <c r="A22" s="42" t="s">
        <v>21</v>
      </c>
      <c r="B22" s="48">
        <v>3</v>
      </c>
      <c r="C22" s="48">
        <v>4</v>
      </c>
      <c r="D22" s="48">
        <v>3</v>
      </c>
      <c r="E22" s="48">
        <v>5</v>
      </c>
    </row>
    <row r="23" spans="1:5" ht="12.75">
      <c r="A23" s="60" t="s">
        <v>20</v>
      </c>
      <c r="B23" s="61">
        <f>SUM(B18:B22)</f>
        <v>366.9</v>
      </c>
      <c r="C23" s="61">
        <f>SUM(C18:C22)</f>
        <v>257.8</v>
      </c>
      <c r="D23" s="61">
        <f>SUM(D18:D22)</f>
        <v>236.5</v>
      </c>
      <c r="E23" s="61">
        <f>SUM(E18:E22)</f>
        <v>253.2</v>
      </c>
    </row>
    <row r="24" spans="1:5" ht="12.75">
      <c r="A24" s="42" t="s">
        <v>19</v>
      </c>
      <c r="B24" s="47">
        <v>20.5</v>
      </c>
      <c r="C24" s="47">
        <v>22.1</v>
      </c>
      <c r="D24" s="47">
        <v>18.4</v>
      </c>
      <c r="E24" s="47">
        <v>12.8</v>
      </c>
    </row>
    <row r="25" spans="1:5" ht="12.75">
      <c r="A25" s="42" t="s">
        <v>18</v>
      </c>
      <c r="B25" s="47">
        <v>180.9</v>
      </c>
      <c r="C25" s="47">
        <v>203.8</v>
      </c>
      <c r="D25" s="47">
        <v>210.1</v>
      </c>
      <c r="E25" s="47">
        <v>217.3</v>
      </c>
    </row>
    <row r="26" spans="1:5" ht="12.75">
      <c r="A26" s="42" t="s">
        <v>17</v>
      </c>
      <c r="B26" s="48">
        <v>4</v>
      </c>
      <c r="C26" s="48">
        <v>3.8</v>
      </c>
      <c r="D26" s="48">
        <v>5.1</v>
      </c>
      <c r="E26" s="48">
        <v>5.5</v>
      </c>
    </row>
    <row r="27" spans="1:5" ht="12.75">
      <c r="A27" s="60" t="s">
        <v>16</v>
      </c>
      <c r="B27" s="62">
        <f>SUM(B24:B26)</f>
        <v>205.4</v>
      </c>
      <c r="C27" s="62">
        <f>SUM(C24:C26)</f>
        <v>229.70000000000002</v>
      </c>
      <c r="D27" s="62">
        <f>SUM(D24:D26)</f>
        <v>233.6</v>
      </c>
      <c r="E27" s="62">
        <f>SUM(E24:E26)</f>
        <v>235.60000000000002</v>
      </c>
    </row>
    <row r="28" spans="1:5" ht="12.75">
      <c r="A28" s="63" t="s">
        <v>15</v>
      </c>
      <c r="B28" s="64">
        <f>+B23+B27</f>
        <v>572.3</v>
      </c>
      <c r="C28" s="64">
        <f>+C23+C27</f>
        <v>487.5</v>
      </c>
      <c r="D28" s="64">
        <f>+D23+D27</f>
        <v>470.1</v>
      </c>
      <c r="E28" s="64">
        <f>+E23+E27</f>
        <v>488.8</v>
      </c>
    </row>
    <row r="29" spans="1:5" ht="12.75">
      <c r="A29" s="65" t="s">
        <v>14</v>
      </c>
      <c r="B29" s="66">
        <v>537.6</v>
      </c>
      <c r="C29" s="66">
        <f>+B29+'EST RESULT'!C16-'EST RESULT'!C17</f>
        <v>611.9</v>
      </c>
      <c r="D29" s="66">
        <f>+C29+'EST RESULT'!D16-'EST RESULT'!D17</f>
        <v>701.5</v>
      </c>
      <c r="E29" s="66">
        <f>+D29+'EST RESULT'!E16-'EST RESULT'!E17</f>
        <v>720.2</v>
      </c>
    </row>
  </sheetData>
  <sheetProtection sheet="1" objects="1" scenarios="1"/>
  <printOptions/>
  <pageMargins left="0.75" right="0.75" top="1" bottom="1" header="0" footer="0"/>
  <pageSetup orientation="portrait" paperSize="9"/>
</worksheet>
</file>

<file path=xl/worksheets/sheet30.xml><?xml version="1.0" encoding="utf-8"?>
<worksheet xmlns="http://schemas.openxmlformats.org/spreadsheetml/2006/main" xmlns:r="http://schemas.openxmlformats.org/officeDocument/2006/relationships">
  <dimension ref="A1:F10"/>
  <sheetViews>
    <sheetView workbookViewId="0" topLeftCell="A1">
      <selection activeCell="A1" sqref="A1"/>
    </sheetView>
  </sheetViews>
  <sheetFormatPr defaultColWidth="11.421875" defaultRowHeight="12.75"/>
  <cols>
    <col min="1" max="1" width="30.7109375" style="0" customWidth="1"/>
    <col min="2" max="6" width="8.7109375" style="0" customWidth="1"/>
  </cols>
  <sheetData>
    <row r="1" ht="12.75">
      <c r="A1" s="36" t="str">
        <f>+VENTAS!A1</f>
        <v>AFIC - Ejercicio de Aplicación 1</v>
      </c>
    </row>
    <row r="2" ht="12.75">
      <c r="A2" s="36" t="str">
        <f>+VENTAS!A2</f>
        <v>SIDERAR S.A.</v>
      </c>
    </row>
    <row r="4" spans="1:6" ht="12.75">
      <c r="A4" s="17" t="s">
        <v>257</v>
      </c>
      <c r="B4" s="16"/>
      <c r="C4" s="16"/>
      <c r="D4" s="16"/>
      <c r="E4" s="16"/>
      <c r="F4" s="16"/>
    </row>
    <row r="5" spans="1:6" ht="12.75">
      <c r="A5" s="20"/>
      <c r="B5" s="15">
        <v>1995</v>
      </c>
      <c r="C5" s="15">
        <v>1996</v>
      </c>
      <c r="D5" s="15">
        <v>1997</v>
      </c>
      <c r="E5" s="15">
        <v>1998</v>
      </c>
      <c r="F5" s="15">
        <v>1999</v>
      </c>
    </row>
    <row r="6" spans="1:6" ht="12.75">
      <c r="A6" s="13" t="s">
        <v>256</v>
      </c>
      <c r="B6" s="14">
        <f>65.9+57</f>
        <v>122.9</v>
      </c>
      <c r="C6" s="14">
        <f>66.5+50</f>
        <v>116.5</v>
      </c>
      <c r="D6" s="14">
        <f>79+45</f>
        <v>124</v>
      </c>
      <c r="E6" s="14">
        <f>98+35</f>
        <v>133</v>
      </c>
      <c r="F6" s="14">
        <f>97.4+37</f>
        <v>134.4</v>
      </c>
    </row>
    <row r="7" spans="1:6" ht="12.75">
      <c r="A7" s="13" t="s">
        <v>255</v>
      </c>
      <c r="B7" s="11">
        <f>+B8-SUM(B6:B6)</f>
        <v>123.5</v>
      </c>
      <c r="C7" s="11">
        <f>+C8-SUM(C6:C6)</f>
        <v>109.80000000000001</v>
      </c>
      <c r="D7" s="11">
        <f>+D8-SUM(D6:D6)</f>
        <v>114.5</v>
      </c>
      <c r="E7" s="11">
        <f>+E8-SUM(E6:E6)</f>
        <v>120.30000000000001</v>
      </c>
      <c r="F7" s="11">
        <f>+F8-SUM(F6:F6)</f>
        <v>123.1</v>
      </c>
    </row>
    <row r="8" spans="1:6" ht="12.75">
      <c r="A8" s="12" t="s">
        <v>8</v>
      </c>
      <c r="B8" s="23">
        <v>246.4</v>
      </c>
      <c r="C8" s="23">
        <f>+'EST PATRIM'!B11</f>
        <v>226.3</v>
      </c>
      <c r="D8" s="23">
        <f>+'EST PATRIM'!C11</f>
        <v>238.5</v>
      </c>
      <c r="E8" s="23">
        <f>+'EST PATRIM'!D11</f>
        <v>253.3</v>
      </c>
      <c r="F8" s="23">
        <f>+'EST PATRIM'!E11</f>
        <v>257.5</v>
      </c>
    </row>
    <row r="9" spans="1:6" ht="25.5">
      <c r="A9" s="22" t="s">
        <v>254</v>
      </c>
      <c r="B9" s="22"/>
      <c r="C9" s="28">
        <f>'BS CAMBIO'!B7+393.7-'BS CAMBIO'!C7</f>
        <v>407.40000000000003</v>
      </c>
      <c r="D9" s="28">
        <f>+'BS CAMBIO'!C7-'BS CAMBIO'!D7+416.6</f>
        <v>411.90000000000003</v>
      </c>
      <c r="E9" s="28">
        <f>+'BS CAMBIO'!D7-'BS CAMBIO'!E7+526.1</f>
        <v>520.3</v>
      </c>
      <c r="F9" s="28">
        <f>+'BS CAMBIO'!E7-'BS CAMBIO'!F7+419.3</f>
        <v>416.5</v>
      </c>
    </row>
    <row r="10" spans="1:6" ht="25.5">
      <c r="A10" s="27" t="s">
        <v>253</v>
      </c>
      <c r="B10" s="27"/>
      <c r="C10" s="26">
        <v>393.7</v>
      </c>
      <c r="D10" s="26">
        <v>416.6</v>
      </c>
      <c r="E10" s="26">
        <v>526.1</v>
      </c>
      <c r="F10" s="26">
        <v>419.3</v>
      </c>
    </row>
  </sheetData>
  <sheetProtection sheet="1" objects="1" scenarios="1"/>
  <printOptions/>
  <pageMargins left="0.75" right="0.75" top="1" bottom="1" header="0" footer="0"/>
  <pageSetup orientation="portrait" paperSize="9"/>
</worksheet>
</file>

<file path=xl/worksheets/sheet31.xml><?xml version="1.0" encoding="utf-8"?>
<worksheet xmlns="http://schemas.openxmlformats.org/spreadsheetml/2006/main" xmlns:r="http://schemas.openxmlformats.org/officeDocument/2006/relationships">
  <dimension ref="A1:E15"/>
  <sheetViews>
    <sheetView workbookViewId="0" topLeftCell="A1">
      <selection activeCell="A1" sqref="A1"/>
    </sheetView>
  </sheetViews>
  <sheetFormatPr defaultColWidth="11.421875" defaultRowHeight="12.75"/>
  <cols>
    <col min="1" max="1" width="30.7109375" style="49" customWidth="1"/>
    <col min="2" max="5" width="8.7109375" style="49" customWidth="1"/>
    <col min="6" max="16384" width="11.421875" style="49" customWidth="1"/>
  </cols>
  <sheetData>
    <row r="1" spans="1:4" ht="12.75">
      <c r="A1" s="36" t="str">
        <f>+VENTAS!A1</f>
        <v>AFIC - Ejercicio de Aplicación 1</v>
      </c>
      <c r="B1" s="37"/>
      <c r="C1" s="37"/>
      <c r="D1" s="37"/>
    </row>
    <row r="2" spans="1:4" ht="12.75">
      <c r="A2" s="36" t="str">
        <f>+VENTAS!A2</f>
        <v>SIDERAR S.A.</v>
      </c>
      <c r="B2" s="37"/>
      <c r="C2" s="37"/>
      <c r="D2" s="37"/>
    </row>
    <row r="3" spans="1:5" ht="12.75">
      <c r="A3" s="37"/>
      <c r="B3" s="37"/>
      <c r="C3" s="37"/>
      <c r="D3" s="37"/>
      <c r="E3" s="73" t="s">
        <v>305</v>
      </c>
    </row>
    <row r="4" spans="1:5" ht="12.75">
      <c r="A4" s="38" t="s">
        <v>265</v>
      </c>
      <c r="B4" s="39"/>
      <c r="C4" s="39"/>
      <c r="D4" s="39"/>
      <c r="E4" s="50"/>
    </row>
    <row r="5" spans="1:5" ht="12.75">
      <c r="A5" s="79"/>
      <c r="B5" s="189">
        <v>1996</v>
      </c>
      <c r="C5" s="189">
        <v>1997</v>
      </c>
      <c r="D5" s="189">
        <v>1998</v>
      </c>
      <c r="E5" s="186">
        <v>1999</v>
      </c>
    </row>
    <row r="6" spans="1:5" ht="12.75">
      <c r="A6" s="42" t="s">
        <v>264</v>
      </c>
      <c r="B6" s="47">
        <f>+VENTAS!B11</f>
        <v>763</v>
      </c>
      <c r="C6" s="47">
        <f>+VENTAS!C11</f>
        <v>824.9</v>
      </c>
      <c r="D6" s="47">
        <f>+VENTAS!D11</f>
        <v>982.5</v>
      </c>
      <c r="E6" s="56"/>
    </row>
    <row r="7" spans="1:5" ht="12.75">
      <c r="A7" s="42" t="s">
        <v>9</v>
      </c>
      <c r="B7" s="47">
        <f>+VENTAS!B12</f>
        <v>175.7</v>
      </c>
      <c r="C7" s="47">
        <f>+VENTAS!C12</f>
        <v>187</v>
      </c>
      <c r="D7" s="47">
        <f>+VENTAS!D12</f>
        <v>194</v>
      </c>
      <c r="E7" s="56"/>
    </row>
    <row r="8" spans="1:5" ht="12.75">
      <c r="A8" s="42" t="s">
        <v>263</v>
      </c>
      <c r="B8" s="47">
        <f>+B6*1.21+B7</f>
        <v>1098.93</v>
      </c>
      <c r="C8" s="47">
        <f>+C6*1.21+C7</f>
        <v>1185.129</v>
      </c>
      <c r="D8" s="47">
        <f>+D6*1.21+D7</f>
        <v>1382.825</v>
      </c>
      <c r="E8" s="56"/>
    </row>
    <row r="9" spans="1:5" ht="12.75">
      <c r="A9" s="42" t="s">
        <v>262</v>
      </c>
      <c r="B9" s="111">
        <f>+B8/365</f>
        <v>3.0107671232876716</v>
      </c>
      <c r="C9" s="111">
        <f>+C8/365</f>
        <v>3.2469287671232876</v>
      </c>
      <c r="D9" s="111">
        <f>+D8/365</f>
        <v>3.7885616438356164</v>
      </c>
      <c r="E9" s="94"/>
    </row>
    <row r="10" spans="1:5" ht="12.75">
      <c r="A10" s="45" t="s">
        <v>33</v>
      </c>
      <c r="B10" s="48">
        <f>+'EST PATR REORD'!B8</f>
        <v>156</v>
      </c>
      <c r="C10" s="48">
        <f>+'EST PATR REORD'!C8</f>
        <v>145</v>
      </c>
      <c r="D10" s="48">
        <f>+'EST PATR REORD'!D8</f>
        <v>164</v>
      </c>
      <c r="E10" s="57"/>
    </row>
    <row r="11" spans="1:5" ht="12.75">
      <c r="A11" s="40" t="s">
        <v>260</v>
      </c>
      <c r="B11" s="190">
        <f>+B10/B9</f>
        <v>51.81403729081924</v>
      </c>
      <c r="C11" s="190">
        <f>+C10/C9</f>
        <v>44.65758579867677</v>
      </c>
      <c r="D11" s="190">
        <f>+D10/D9</f>
        <v>43.28819626489252</v>
      </c>
      <c r="E11" s="187"/>
    </row>
    <row r="12" spans="1:5" ht="12.75">
      <c r="A12" s="40" t="s">
        <v>261</v>
      </c>
      <c r="B12" s="40"/>
      <c r="C12" s="191">
        <f>(B10+C10)/2</f>
        <v>150.5</v>
      </c>
      <c r="D12" s="191">
        <f>(C10+D10)/2</f>
        <v>154.5</v>
      </c>
      <c r="E12" s="188"/>
    </row>
    <row r="13" spans="1:5" ht="12.75">
      <c r="A13" s="40" t="s">
        <v>260</v>
      </c>
      <c r="B13" s="40"/>
      <c r="C13" s="190">
        <f>+C12/C9</f>
        <v>46.35149422552313</v>
      </c>
      <c r="D13" s="190">
        <f>+D12/D9</f>
        <v>40.780648310523745</v>
      </c>
      <c r="E13" s="187"/>
    </row>
    <row r="14" spans="1:5" ht="12.75">
      <c r="A14" s="42" t="s">
        <v>259</v>
      </c>
      <c r="B14" s="42"/>
      <c r="C14" s="43">
        <f>((CREDITOS!B6+CREDITOS!C6)/2)/('PLAZO CRED'!C6*1.21/365)</f>
        <v>44.11979814232429</v>
      </c>
      <c r="D14" s="43">
        <f>((CREDITOS!C6+CREDITOS!D6)/2)/('PLAZO CRED'!D6*1.21/365)</f>
        <v>38.33217672912329</v>
      </c>
      <c r="E14" s="53"/>
    </row>
    <row r="15" spans="1:5" ht="12.75">
      <c r="A15" s="45" t="s">
        <v>258</v>
      </c>
      <c r="B15" s="45"/>
      <c r="C15" s="44">
        <f>((CREDITOS!B7+CREDITOS!C7)/2)/('PLAZO CRED'!C7/365)</f>
        <v>58.26336898395722</v>
      </c>
      <c r="D15" s="44">
        <f>((CREDITOS!C7+CREDITOS!D7)/2)/('PLAZO CRED'!D7/365)</f>
        <v>55.78479381443298</v>
      </c>
      <c r="E15" s="54"/>
    </row>
  </sheetData>
  <sheetProtection sheet="1" objects="1" scenarios="1"/>
  <printOptions/>
  <pageMargins left="0.75" right="0.75" top="1" bottom="1" header="0" footer="0"/>
  <pageSetup orientation="portrait" paperSize="9"/>
</worksheet>
</file>

<file path=xl/worksheets/sheet32.xml><?xml version="1.0" encoding="utf-8"?>
<worksheet xmlns="http://schemas.openxmlformats.org/spreadsheetml/2006/main" xmlns:r="http://schemas.openxmlformats.org/officeDocument/2006/relationships">
  <dimension ref="A1:E33"/>
  <sheetViews>
    <sheetView workbookViewId="0" topLeftCell="A1">
      <selection activeCell="A1" sqref="A1"/>
    </sheetView>
  </sheetViews>
  <sheetFormatPr defaultColWidth="11.421875" defaultRowHeight="12.75"/>
  <cols>
    <col min="1" max="1" width="30.7109375" style="49" customWidth="1"/>
    <col min="2" max="5" width="8.7109375" style="49" customWidth="1"/>
    <col min="6" max="16384" width="11.421875" style="49" customWidth="1"/>
  </cols>
  <sheetData>
    <row r="1" spans="1:4" ht="12.75">
      <c r="A1" s="36" t="str">
        <f>+VENTAS!A1</f>
        <v>AFIC - Ejercicio de Aplicación 1</v>
      </c>
      <c r="B1" s="37"/>
      <c r="C1" s="37"/>
      <c r="D1" s="37"/>
    </row>
    <row r="2" spans="1:4" ht="12.75">
      <c r="A2" s="36" t="str">
        <f>+VENTAS!A2</f>
        <v>SIDERAR S.A.</v>
      </c>
      <c r="B2" s="37"/>
      <c r="C2" s="37"/>
      <c r="D2" s="37"/>
    </row>
    <row r="3" spans="1:5" ht="12.75">
      <c r="A3" s="37"/>
      <c r="B3" s="37"/>
      <c r="C3" s="37"/>
      <c r="D3" s="37"/>
      <c r="E3" s="73" t="s">
        <v>305</v>
      </c>
    </row>
    <row r="4" spans="1:5" ht="12.75">
      <c r="A4" s="38" t="s">
        <v>284</v>
      </c>
      <c r="B4" s="39"/>
      <c r="C4" s="39"/>
      <c r="D4" s="39"/>
      <c r="E4" s="50"/>
    </row>
    <row r="5" spans="1:5" ht="12.75">
      <c r="A5" s="79"/>
      <c r="B5" s="189">
        <v>1996</v>
      </c>
      <c r="C5" s="189">
        <v>1997</v>
      </c>
      <c r="D5" s="189">
        <v>1998</v>
      </c>
      <c r="E5" s="186">
        <v>1999</v>
      </c>
    </row>
    <row r="6" spans="1:5" ht="12.75">
      <c r="A6" s="42" t="s">
        <v>283</v>
      </c>
      <c r="B6" s="47">
        <f>+'BS CAMBIO'!B7</f>
        <v>123.5</v>
      </c>
      <c r="C6" s="47">
        <f>+B8</f>
        <v>109.80000000000001</v>
      </c>
      <c r="D6" s="47">
        <f>+C8</f>
        <v>114.5</v>
      </c>
      <c r="E6" s="56">
        <f>+D8</f>
        <v>120.30000000000001</v>
      </c>
    </row>
    <row r="7" spans="1:5" ht="12.75">
      <c r="A7" s="42" t="s">
        <v>282</v>
      </c>
      <c r="B7" s="47">
        <f>+B9-B6+B8</f>
        <v>393.70000000000005</v>
      </c>
      <c r="C7" s="47">
        <f>+C9-C6+C8</f>
        <v>416.6</v>
      </c>
      <c r="D7" s="47">
        <f>+D9-D6+D8</f>
        <v>526.0999999999999</v>
      </c>
      <c r="E7" s="56">
        <f>+E9-E6+E8</f>
        <v>419.29999999999995</v>
      </c>
    </row>
    <row r="8" spans="1:5" ht="12.75">
      <c r="A8" s="42" t="s">
        <v>281</v>
      </c>
      <c r="B8" s="47">
        <f>+'BS CAMBIO'!C7</f>
        <v>109.80000000000001</v>
      </c>
      <c r="C8" s="47">
        <f>+'BS CAMBIO'!D7</f>
        <v>114.5</v>
      </c>
      <c r="D8" s="47">
        <f>+'BS CAMBIO'!E7</f>
        <v>120.30000000000001</v>
      </c>
      <c r="E8" s="56">
        <f>+'BS CAMBIO'!F7</f>
        <v>123.1</v>
      </c>
    </row>
    <row r="9" spans="1:5" ht="12.75">
      <c r="A9" s="42" t="s">
        <v>274</v>
      </c>
      <c r="B9" s="47">
        <f>+'BS CAMBIO'!C9</f>
        <v>407.40000000000003</v>
      </c>
      <c r="C9" s="47">
        <f>+'BS CAMBIO'!D9</f>
        <v>411.90000000000003</v>
      </c>
      <c r="D9" s="47">
        <f>+'BS CAMBIO'!E9</f>
        <v>520.3</v>
      </c>
      <c r="E9" s="56">
        <f>+'BS CAMBIO'!F9</f>
        <v>416.5</v>
      </c>
    </row>
    <row r="10" spans="1:5" ht="12.75">
      <c r="A10" s="42" t="s">
        <v>280</v>
      </c>
      <c r="B10" s="47">
        <f>SUM(GASTOS!B7:B10)</f>
        <v>293</v>
      </c>
      <c r="C10" s="47">
        <f>SUM(GASTOS!F7:F10)</f>
        <v>323.5</v>
      </c>
      <c r="D10" s="47">
        <f>SUM(GASTOS!B13:B16)</f>
        <v>347.79999999999995</v>
      </c>
      <c r="E10" s="56">
        <f>SUM(GASTOS!F13:F16)</f>
        <v>356.3</v>
      </c>
    </row>
    <row r="11" spans="1:5" ht="12.75">
      <c r="A11" s="42" t="s">
        <v>279</v>
      </c>
      <c r="B11" s="47">
        <f>+B9+B10</f>
        <v>700.4000000000001</v>
      </c>
      <c r="C11" s="47">
        <f>+C9+C10</f>
        <v>735.4000000000001</v>
      </c>
      <c r="D11" s="47">
        <f>+D9+D10</f>
        <v>868.0999999999999</v>
      </c>
      <c r="E11" s="56">
        <f>+E9+E10</f>
        <v>772.8</v>
      </c>
    </row>
    <row r="12" spans="1:5" ht="12.75">
      <c r="A12" s="42" t="s">
        <v>278</v>
      </c>
      <c r="B12" s="47">
        <f>+'BS CAMBIO'!B6</f>
        <v>122.9</v>
      </c>
      <c r="C12" s="47">
        <f>+B14</f>
        <v>116.5</v>
      </c>
      <c r="D12" s="47">
        <f>+C14</f>
        <v>124</v>
      </c>
      <c r="E12" s="56">
        <f>+D14</f>
        <v>133</v>
      </c>
    </row>
    <row r="13" spans="1:5" ht="12.75">
      <c r="A13" s="42" t="s">
        <v>277</v>
      </c>
      <c r="B13" s="47">
        <f>+'EST RESULT REORD'!B12</f>
        <v>1</v>
      </c>
      <c r="C13" s="47">
        <f>+'EST RESULT REORD'!C12</f>
        <v>2.7</v>
      </c>
      <c r="D13" s="47">
        <f>+'EST RESULT REORD'!D12</f>
        <v>-3.6</v>
      </c>
      <c r="E13" s="56">
        <f>+'EST RESULT'!E22</f>
        <v>-8</v>
      </c>
    </row>
    <row r="14" spans="1:5" ht="12.75">
      <c r="A14" s="42" t="s">
        <v>276</v>
      </c>
      <c r="B14" s="47">
        <f>+'BS CAMBIO'!C6</f>
        <v>116.5</v>
      </c>
      <c r="C14" s="47">
        <f>+'BS CAMBIO'!D6</f>
        <v>124</v>
      </c>
      <c r="D14" s="47">
        <f>+'BS CAMBIO'!E6</f>
        <v>133</v>
      </c>
      <c r="E14" s="56">
        <f>+'BS CAMBIO'!F6</f>
        <v>134.4</v>
      </c>
    </row>
    <row r="15" spans="1:5" ht="12.75">
      <c r="A15" s="69" t="s">
        <v>53</v>
      </c>
      <c r="B15" s="70">
        <f>-'EST RESULT REORD'!B7</f>
        <v>707.8</v>
      </c>
      <c r="C15" s="70">
        <f>-'EST RESULT REORD'!C7</f>
        <v>730.6</v>
      </c>
      <c r="D15" s="70">
        <f>-'EST RESULT REORD'!D7</f>
        <v>855.5</v>
      </c>
      <c r="E15" s="67">
        <f>-'EST RESULT'!E7</f>
        <v>763.4</v>
      </c>
    </row>
    <row r="16" spans="1:5" ht="12.75">
      <c r="A16" s="46"/>
      <c r="B16" s="46"/>
      <c r="C16" s="46"/>
      <c r="D16" s="46"/>
      <c r="E16" s="55"/>
    </row>
    <row r="17" spans="1:5" ht="12.75">
      <c r="A17" s="100" t="s">
        <v>275</v>
      </c>
      <c r="B17" s="143"/>
      <c r="C17" s="194"/>
      <c r="D17" s="46"/>
      <c r="E17" s="55"/>
    </row>
    <row r="18" spans="1:5" ht="12.75">
      <c r="A18" s="79"/>
      <c r="B18" s="189">
        <v>1996</v>
      </c>
      <c r="C18" s="189">
        <v>1997</v>
      </c>
      <c r="D18" s="189">
        <v>1998</v>
      </c>
      <c r="E18" s="186">
        <v>1999</v>
      </c>
    </row>
    <row r="19" spans="1:5" ht="12.75">
      <c r="A19" s="42" t="s">
        <v>274</v>
      </c>
      <c r="B19" s="178">
        <f>+B9</f>
        <v>407.40000000000003</v>
      </c>
      <c r="C19" s="178">
        <f>+C9</f>
        <v>411.90000000000003</v>
      </c>
      <c r="D19" s="178">
        <f>+D9</f>
        <v>520.3</v>
      </c>
      <c r="E19" s="162"/>
    </row>
    <row r="20" spans="1:5" ht="12.75">
      <c r="A20" s="42" t="s">
        <v>273</v>
      </c>
      <c r="B20" s="111">
        <f>+B19/365</f>
        <v>1.116164383561644</v>
      </c>
      <c r="C20" s="111">
        <f>+C19/365</f>
        <v>1.1284931506849316</v>
      </c>
      <c r="D20" s="111">
        <f>+D19/365</f>
        <v>1.4254794520547944</v>
      </c>
      <c r="E20" s="94"/>
    </row>
    <row r="21" spans="1:5" ht="12.75">
      <c r="A21" s="45" t="s">
        <v>255</v>
      </c>
      <c r="B21" s="48">
        <f>+B8</f>
        <v>109.80000000000001</v>
      </c>
      <c r="C21" s="48">
        <f>+C8</f>
        <v>114.5</v>
      </c>
      <c r="D21" s="48">
        <f>+D8</f>
        <v>120.30000000000001</v>
      </c>
      <c r="E21" s="57"/>
    </row>
    <row r="22" spans="1:5" ht="12.75">
      <c r="A22" s="40" t="s">
        <v>271</v>
      </c>
      <c r="B22" s="190">
        <f>+B21/B20</f>
        <v>98.37260677466863</v>
      </c>
      <c r="C22" s="190">
        <f>+C21/C20</f>
        <v>101.46273367322165</v>
      </c>
      <c r="D22" s="190">
        <f>+D21/D20</f>
        <v>84.39265808187585</v>
      </c>
      <c r="E22" s="187"/>
    </row>
    <row r="23" spans="1:5" ht="12.75">
      <c r="A23" s="40" t="s">
        <v>272</v>
      </c>
      <c r="B23" s="40"/>
      <c r="C23" s="191">
        <f>(B21+C21)/2</f>
        <v>112.15</v>
      </c>
      <c r="D23" s="191">
        <f>(C21+D21)/2</f>
        <v>117.4</v>
      </c>
      <c r="E23" s="188"/>
    </row>
    <row r="24" spans="1:5" ht="12.75">
      <c r="A24" s="40" t="s">
        <v>271</v>
      </c>
      <c r="B24" s="40"/>
      <c r="C24" s="190">
        <f>+C23/C20</f>
        <v>99.38031075503763</v>
      </c>
      <c r="D24" s="190">
        <f>+D23/D20</f>
        <v>82.35825485296945</v>
      </c>
      <c r="E24" s="187"/>
    </row>
    <row r="25" spans="1:5" ht="12.75">
      <c r="A25" s="42" t="s">
        <v>270</v>
      </c>
      <c r="B25" s="47">
        <f>+B15</f>
        <v>707.8</v>
      </c>
      <c r="C25" s="47">
        <f>+C15</f>
        <v>730.6</v>
      </c>
      <c r="D25" s="47">
        <f>+D15</f>
        <v>855.5</v>
      </c>
      <c r="E25" s="56"/>
    </row>
    <row r="26" spans="1:5" ht="12.75">
      <c r="A26" s="42" t="s">
        <v>269</v>
      </c>
      <c r="B26" s="111">
        <f>+B25/365</f>
        <v>1.9391780821917808</v>
      </c>
      <c r="C26" s="111">
        <f>+C25/365</f>
        <v>2.0016438356164383</v>
      </c>
      <c r="D26" s="111">
        <f>+D25/365</f>
        <v>2.3438356164383563</v>
      </c>
      <c r="E26" s="94"/>
    </row>
    <row r="27" spans="1:5" ht="12.75">
      <c r="A27" s="45" t="s">
        <v>256</v>
      </c>
      <c r="B27" s="48">
        <f>+B14</f>
        <v>116.5</v>
      </c>
      <c r="C27" s="48">
        <f>+C14</f>
        <v>124</v>
      </c>
      <c r="D27" s="48">
        <f>+D14</f>
        <v>133</v>
      </c>
      <c r="E27" s="57"/>
    </row>
    <row r="28" spans="1:5" ht="12.75">
      <c r="A28" s="40" t="s">
        <v>267</v>
      </c>
      <c r="B28" s="190">
        <f>+B27/B26</f>
        <v>60.07699915230291</v>
      </c>
      <c r="C28" s="190">
        <f>+C27/C26</f>
        <v>61.949082945524225</v>
      </c>
      <c r="D28" s="190">
        <f>+D27/D26</f>
        <v>56.744593804792515</v>
      </c>
      <c r="E28" s="187"/>
    </row>
    <row r="29" spans="1:5" ht="12.75">
      <c r="A29" s="40" t="s">
        <v>268</v>
      </c>
      <c r="B29" s="40"/>
      <c r="C29" s="191">
        <f>(B27+C27)/2</f>
        <v>120.25</v>
      </c>
      <c r="D29" s="191">
        <f>(C27+D27)/2</f>
        <v>128.5</v>
      </c>
      <c r="E29" s="188"/>
    </row>
    <row r="30" spans="1:5" ht="12.75">
      <c r="A30" s="40" t="s">
        <v>267</v>
      </c>
      <c r="B30" s="40"/>
      <c r="C30" s="190">
        <f>+C29/C26</f>
        <v>60.07562277580071</v>
      </c>
      <c r="D30" s="190">
        <f>+D29/D26</f>
        <v>54.82466393921683</v>
      </c>
      <c r="E30" s="187"/>
    </row>
    <row r="31" spans="1:5" ht="12.75">
      <c r="A31" s="42" t="s">
        <v>266</v>
      </c>
      <c r="B31" s="42"/>
      <c r="C31" s="42"/>
      <c r="D31" s="42"/>
      <c r="E31" s="52"/>
    </row>
    <row r="32" spans="1:5" ht="12.75">
      <c r="A32" s="42" t="s">
        <v>113</v>
      </c>
      <c r="B32" s="195">
        <f>+B22+B28</f>
        <v>158.44960592697154</v>
      </c>
      <c r="C32" s="195">
        <f>+C22+C28</f>
        <v>163.4118166187459</v>
      </c>
      <c r="D32" s="195">
        <f>+D22+D28</f>
        <v>141.13725188666837</v>
      </c>
      <c r="E32" s="192"/>
    </row>
    <row r="33" spans="1:5" ht="12.75">
      <c r="A33" s="45" t="s">
        <v>112</v>
      </c>
      <c r="B33" s="45"/>
      <c r="C33" s="196">
        <f>+C24+C30</f>
        <v>159.45593353083834</v>
      </c>
      <c r="D33" s="196">
        <f>+D24+D30</f>
        <v>137.18291879218629</v>
      </c>
      <c r="E33" s="193"/>
    </row>
  </sheetData>
  <sheetProtection sheet="1" objects="1" scenarios="1"/>
  <printOptions/>
  <pageMargins left="0.75" right="0.75" top="1" bottom="1" header="0" footer="0"/>
  <pageSetup orientation="portrait" paperSize="9"/>
</worksheet>
</file>

<file path=xl/worksheets/sheet33.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11.421875" defaultRowHeight="12.75"/>
  <cols>
    <col min="1" max="1" width="30.7109375" style="49" customWidth="1"/>
    <col min="2" max="5" width="8.7109375" style="49" customWidth="1"/>
    <col min="6" max="16384" width="11.421875" style="49" customWidth="1"/>
  </cols>
  <sheetData>
    <row r="1" spans="1:5" ht="12.75">
      <c r="A1" s="36" t="str">
        <f>+VENTAS!A1</f>
        <v>AFIC - Ejercicio de Aplicación 1</v>
      </c>
      <c r="B1" s="37"/>
      <c r="C1" s="37"/>
      <c r="D1" s="37"/>
      <c r="E1" s="37"/>
    </row>
    <row r="2" spans="1:5" ht="12.75">
      <c r="A2" s="36" t="str">
        <f>+VENTAS!A2</f>
        <v>SIDERAR S.A.</v>
      </c>
      <c r="B2" s="37"/>
      <c r="C2" s="37"/>
      <c r="D2" s="37"/>
      <c r="E2" s="37"/>
    </row>
    <row r="3" spans="1:5" ht="12.75">
      <c r="A3" s="37"/>
      <c r="B3" s="37"/>
      <c r="C3" s="37"/>
      <c r="D3" s="37"/>
      <c r="E3" s="37"/>
    </row>
    <row r="4" spans="1:5" ht="12.75">
      <c r="A4" s="38" t="s">
        <v>296</v>
      </c>
      <c r="B4" s="39"/>
      <c r="C4" s="39"/>
      <c r="D4" s="39"/>
      <c r="E4" s="39"/>
    </row>
    <row r="5" spans="1:5" ht="12.75">
      <c r="A5" s="79"/>
      <c r="B5" s="189">
        <v>1996</v>
      </c>
      <c r="C5" s="189">
        <v>1997</v>
      </c>
      <c r="D5" s="189">
        <v>1998</v>
      </c>
      <c r="E5" s="189">
        <v>1999</v>
      </c>
    </row>
    <row r="6" spans="1:5" ht="12.75">
      <c r="A6" s="42" t="s">
        <v>282</v>
      </c>
      <c r="B6" s="47">
        <f>+'PLAZO BS CAMBIO'!B7</f>
        <v>393.70000000000005</v>
      </c>
      <c r="C6" s="47">
        <f>+'PLAZO BS CAMBIO'!C7</f>
        <v>416.6</v>
      </c>
      <c r="D6" s="47">
        <f>+'PLAZO BS CAMBIO'!D7</f>
        <v>526.0999999999999</v>
      </c>
      <c r="E6" s="47">
        <f>+'PLAZO BS CAMBIO'!E7</f>
        <v>419.29999999999995</v>
      </c>
    </row>
    <row r="7" spans="1:5" ht="12.75">
      <c r="A7" s="42" t="s">
        <v>295</v>
      </c>
      <c r="B7" s="47"/>
      <c r="C7" s="47"/>
      <c r="D7" s="47"/>
      <c r="E7" s="47"/>
    </row>
    <row r="8" spans="1:5" ht="12.75">
      <c r="A8" s="42" t="s">
        <v>167</v>
      </c>
      <c r="B8" s="47">
        <f>+GASTOS!E7</f>
        <v>174.5</v>
      </c>
      <c r="C8" s="47">
        <f>+GASTOS!I7</f>
        <v>173.7</v>
      </c>
      <c r="D8" s="47">
        <f>+GASTOS!E13</f>
        <v>177.20000000000002</v>
      </c>
      <c r="E8" s="47">
        <f>+GASTOS!I13</f>
        <v>170.1</v>
      </c>
    </row>
    <row r="9" spans="1:5" ht="12.75">
      <c r="A9" s="42" t="s">
        <v>166</v>
      </c>
      <c r="B9" s="47">
        <f>+GASTOS!E8</f>
        <v>59.7</v>
      </c>
      <c r="C9" s="47">
        <f>+GASTOS!I8</f>
        <v>67.1</v>
      </c>
      <c r="D9" s="47">
        <f>+GASTOS!E14</f>
        <v>84.6</v>
      </c>
      <c r="E9" s="47">
        <f>+GASTOS!I14</f>
        <v>83.60000000000001</v>
      </c>
    </row>
    <row r="10" spans="1:5" ht="12.75">
      <c r="A10" s="42" t="s">
        <v>294</v>
      </c>
      <c r="B10" s="48">
        <f>+GASTOS!E9</f>
        <v>116.69999999999997</v>
      </c>
      <c r="C10" s="48">
        <f>+GASTOS!I9</f>
        <v>125.19999999999999</v>
      </c>
      <c r="D10" s="48">
        <f>+GASTOS!E15</f>
        <v>127.59999999999997</v>
      </c>
      <c r="E10" s="48">
        <f>+GASTOS!I15</f>
        <v>131.3</v>
      </c>
    </row>
    <row r="11" spans="1:5" ht="12.75">
      <c r="A11" s="42" t="s">
        <v>293</v>
      </c>
      <c r="B11" s="47">
        <f>SUM(B6:B10)</f>
        <v>744.6</v>
      </c>
      <c r="C11" s="47">
        <f>SUM(C6:C10)</f>
        <v>782.5999999999999</v>
      </c>
      <c r="D11" s="47">
        <f>SUM(D6:D10)</f>
        <v>915.5</v>
      </c>
      <c r="E11" s="47">
        <f>SUM(E6:E10)</f>
        <v>804.3</v>
      </c>
    </row>
    <row r="12" spans="1:5" ht="12.75">
      <c r="A12" s="42" t="s">
        <v>292</v>
      </c>
      <c r="B12" s="47">
        <f>(B6+B9+B10)*0.21</f>
        <v>119.721</v>
      </c>
      <c r="C12" s="47">
        <f>(C6+C9+C10)*0.21</f>
        <v>127.86900000000001</v>
      </c>
      <c r="D12" s="47">
        <f>(D6+D9+D10)*0.21</f>
        <v>155.04299999999998</v>
      </c>
      <c r="E12" s="47">
        <f>(E6+E9+E10)*0.21</f>
        <v>133.18200000000002</v>
      </c>
    </row>
    <row r="13" spans="1:5" ht="25.5">
      <c r="A13" s="139" t="s">
        <v>291</v>
      </c>
      <c r="B13" s="197">
        <f>+B11+B12</f>
        <v>864.321</v>
      </c>
      <c r="C13" s="197">
        <f>+C11+C12</f>
        <v>910.4689999999999</v>
      </c>
      <c r="D13" s="197">
        <f>+D11+D12</f>
        <v>1070.543</v>
      </c>
      <c r="E13" s="197">
        <f>+E11+E12</f>
        <v>937.482</v>
      </c>
    </row>
    <row r="14" spans="1:5" ht="12.75">
      <c r="A14" s="45" t="s">
        <v>290</v>
      </c>
      <c r="B14" s="109">
        <f>+B13/365</f>
        <v>2.3680027397260273</v>
      </c>
      <c r="C14" s="109">
        <f>+C13/365</f>
        <v>2.494435616438356</v>
      </c>
      <c r="D14" s="109">
        <f>+D13/365</f>
        <v>2.932994520547945</v>
      </c>
      <c r="E14" s="109">
        <f>+E13/365</f>
        <v>2.568443835616438</v>
      </c>
    </row>
    <row r="15" spans="1:5" ht="12.75">
      <c r="A15" s="42" t="s">
        <v>289</v>
      </c>
      <c r="B15" s="47">
        <f>+'EST PATR REORD'!B17</f>
        <v>135.3</v>
      </c>
      <c r="C15" s="47">
        <f>+'EST PATR REORD'!C17</f>
        <v>139.4</v>
      </c>
      <c r="D15" s="47">
        <f>+'EST PATR REORD'!D17</f>
        <v>133.9</v>
      </c>
      <c r="E15" s="47">
        <f>+'EST PATR REORD'!E17</f>
        <v>104</v>
      </c>
    </row>
    <row r="16" spans="1:5" ht="12.75">
      <c r="A16" s="42" t="s">
        <v>288</v>
      </c>
      <c r="B16" s="47">
        <f>+'EST PATR REORD'!B18</f>
        <v>25</v>
      </c>
      <c r="C16" s="47">
        <f>+'EST PATR REORD'!C18</f>
        <v>31</v>
      </c>
      <c r="D16" s="47">
        <f>+'EST PATR REORD'!D18</f>
        <v>37.8</v>
      </c>
      <c r="E16" s="47">
        <f>+'EST PATR REORD'!E18</f>
        <v>37</v>
      </c>
    </row>
    <row r="17" spans="1:5" ht="12.75">
      <c r="A17" s="42" t="s">
        <v>22</v>
      </c>
      <c r="B17" s="48">
        <f>+'EST PATR REORD'!B19</f>
        <v>9</v>
      </c>
      <c r="C17" s="48">
        <f>+'EST PATR REORD'!C19</f>
        <v>11</v>
      </c>
      <c r="D17" s="48">
        <f>+'EST PATR REORD'!D19</f>
        <v>12.200000000000003</v>
      </c>
      <c r="E17" s="48">
        <f>+'EST PATR REORD'!E19</f>
        <v>4</v>
      </c>
    </row>
    <row r="18" spans="1:5" ht="12.75">
      <c r="A18" s="45" t="s">
        <v>287</v>
      </c>
      <c r="B18" s="48">
        <f>+B15+B16+B17</f>
        <v>169.3</v>
      </c>
      <c r="C18" s="48">
        <f>+C15+C16+C17</f>
        <v>181.4</v>
      </c>
      <c r="D18" s="48">
        <f>+D15+D16+D17</f>
        <v>183.89999999999998</v>
      </c>
      <c r="E18" s="48">
        <f>+E15+E16+E17</f>
        <v>145</v>
      </c>
    </row>
    <row r="19" spans="1:5" ht="12.75">
      <c r="A19" s="40" t="s">
        <v>285</v>
      </c>
      <c r="B19" s="190">
        <f>+B18/B14</f>
        <v>71.4948497144001</v>
      </c>
      <c r="C19" s="190">
        <f>+C18/C14</f>
        <v>72.72186093101467</v>
      </c>
      <c r="D19" s="190">
        <f>+D18/D14</f>
        <v>62.70042399044223</v>
      </c>
      <c r="E19" s="190">
        <f>+E18/E14</f>
        <v>56.454417258144694</v>
      </c>
    </row>
    <row r="20" spans="1:5" ht="12.75">
      <c r="A20" s="40" t="s">
        <v>286</v>
      </c>
      <c r="B20" s="40"/>
      <c r="C20" s="191">
        <f>(B18+C18)/2</f>
        <v>175.35000000000002</v>
      </c>
      <c r="D20" s="191">
        <f>(C18+D18)/2</f>
        <v>182.64999999999998</v>
      </c>
      <c r="E20" s="191">
        <f>(D18+E18)/2</f>
        <v>164.45</v>
      </c>
    </row>
    <row r="21" spans="1:5" ht="12.75">
      <c r="A21" s="45" t="s">
        <v>285</v>
      </c>
      <c r="B21" s="45"/>
      <c r="C21" s="44">
        <f>+C20/C14</f>
        <v>70.29646259235626</v>
      </c>
      <c r="D21" s="44">
        <f>+D20/D14</f>
        <v>62.27423840051263</v>
      </c>
      <c r="E21" s="44">
        <f>+E20/E14</f>
        <v>64.02709598690961</v>
      </c>
    </row>
  </sheetData>
  <sheetProtection sheet="1" objects="1" scenarios="1"/>
  <printOptions/>
  <pageMargins left="0.75" right="0.75" top="1" bottom="1" header="0" footer="0"/>
  <pageSetup orientation="portrait" paperSize="9"/>
</worksheet>
</file>

<file path=xl/worksheets/sheet34.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11.421875" defaultRowHeight="12.75"/>
  <cols>
    <col min="1" max="1" width="35.7109375" style="49" customWidth="1"/>
    <col min="2" max="5" width="8.7109375" style="49" customWidth="1"/>
    <col min="6" max="16384" width="11.421875" style="49" customWidth="1"/>
  </cols>
  <sheetData>
    <row r="1" spans="1:5" ht="12.75">
      <c r="A1" s="36" t="str">
        <f>+VENTAS!A1</f>
        <v>AFIC - Ejercicio de Aplicación 1</v>
      </c>
      <c r="B1" s="37"/>
      <c r="C1" s="37"/>
      <c r="D1" s="37"/>
      <c r="E1" s="37"/>
    </row>
    <row r="2" spans="1:5" ht="12.75">
      <c r="A2" s="36" t="str">
        <f>+VENTAS!A2</f>
        <v>SIDERAR S.A.</v>
      </c>
      <c r="B2" s="37"/>
      <c r="C2" s="37"/>
      <c r="D2" s="37"/>
      <c r="E2" s="37"/>
    </row>
    <row r="3" spans="1:5" ht="12.75">
      <c r="A3" s="37"/>
      <c r="B3" s="37"/>
      <c r="C3" s="37"/>
      <c r="D3" s="37"/>
      <c r="E3" s="37"/>
    </row>
    <row r="4" spans="1:5" ht="12.75">
      <c r="A4" s="38" t="s">
        <v>303</v>
      </c>
      <c r="B4" s="39"/>
      <c r="C4" s="39"/>
      <c r="D4" s="39"/>
      <c r="E4" s="39"/>
    </row>
    <row r="5" spans="1:5" ht="12.75">
      <c r="A5" s="40"/>
      <c r="B5" s="189">
        <v>1996</v>
      </c>
      <c r="C5" s="189">
        <v>1997</v>
      </c>
      <c r="D5" s="189">
        <v>1998</v>
      </c>
      <c r="E5" s="189">
        <v>1999</v>
      </c>
    </row>
    <row r="6" spans="1:5" ht="12.75">
      <c r="A6" s="150" t="s">
        <v>302</v>
      </c>
      <c r="B6" s="42"/>
      <c r="C6" s="42"/>
      <c r="D6" s="42"/>
      <c r="E6" s="42"/>
    </row>
    <row r="7" spans="1:5" ht="12.75">
      <c r="A7" s="42" t="s">
        <v>300</v>
      </c>
      <c r="B7" s="195">
        <f>+'PLAZO BS CAMBIO'!B22</f>
        <v>98.37260677466863</v>
      </c>
      <c r="C7" s="195">
        <f>+'PLAZO BS CAMBIO'!C22</f>
        <v>101.46273367322165</v>
      </c>
      <c r="D7" s="195">
        <f>+'PLAZO BS CAMBIO'!D22</f>
        <v>84.39265808187585</v>
      </c>
      <c r="E7" s="195">
        <v>107.9</v>
      </c>
    </row>
    <row r="8" spans="1:5" ht="12.75">
      <c r="A8" s="42" t="s">
        <v>256</v>
      </c>
      <c r="B8" s="195">
        <f>+'PLAZO BS CAMBIO'!B28</f>
        <v>60.07699915230291</v>
      </c>
      <c r="C8" s="195">
        <f>+'PLAZO BS CAMBIO'!C28</f>
        <v>61.949082945524225</v>
      </c>
      <c r="D8" s="195">
        <f>+'PLAZO BS CAMBIO'!D28</f>
        <v>56.744593804792515</v>
      </c>
      <c r="E8" s="195">
        <v>64.3</v>
      </c>
    </row>
    <row r="9" spans="1:5" ht="12.75">
      <c r="A9" s="42" t="s">
        <v>33</v>
      </c>
      <c r="B9" s="196">
        <f>+'PLAZO CRED'!B11</f>
        <v>51.81403729081924</v>
      </c>
      <c r="C9" s="196">
        <f>+'PLAZO CRED'!C11</f>
        <v>44.65758579867677</v>
      </c>
      <c r="D9" s="196">
        <f>+'PLAZO CRED'!D11</f>
        <v>43.28819626489252</v>
      </c>
      <c r="E9" s="196">
        <v>56.1</v>
      </c>
    </row>
    <row r="10" spans="1:5" ht="12.75">
      <c r="A10" s="42" t="s">
        <v>299</v>
      </c>
      <c r="B10" s="195">
        <f>SUM(B7:B9)</f>
        <v>210.2636432177908</v>
      </c>
      <c r="C10" s="195">
        <f>SUM(C7:C9)</f>
        <v>208.06940241742265</v>
      </c>
      <c r="D10" s="195">
        <f>SUM(D7:D9)</f>
        <v>184.4254481515609</v>
      </c>
      <c r="E10" s="195">
        <f>SUM(E7:E9)</f>
        <v>228.29999999999998</v>
      </c>
    </row>
    <row r="11" spans="1:5" ht="12.75">
      <c r="A11" s="42" t="s">
        <v>298</v>
      </c>
      <c r="B11" s="196">
        <f>+'PLAZO PAS OPERAT'!B19</f>
        <v>71.4948497144001</v>
      </c>
      <c r="C11" s="196">
        <f>+'PLAZO PAS OPERAT'!C19</f>
        <v>72.72186093101467</v>
      </c>
      <c r="D11" s="196">
        <f>+'PLAZO PAS OPERAT'!D19</f>
        <v>62.70042399044223</v>
      </c>
      <c r="E11" s="196">
        <f>+'PLAZO PAS OPERAT'!E19</f>
        <v>56.454417258144694</v>
      </c>
    </row>
    <row r="12" spans="1:5" ht="12.75">
      <c r="A12" s="45" t="s">
        <v>297</v>
      </c>
      <c r="B12" s="196">
        <f>+B10-B11</f>
        <v>138.76879350339067</v>
      </c>
      <c r="C12" s="196">
        <f>+C10-C11</f>
        <v>135.34754148640798</v>
      </c>
      <c r="D12" s="196">
        <f>+D10-D11</f>
        <v>121.72502416111865</v>
      </c>
      <c r="E12" s="196">
        <f>+E10-E11</f>
        <v>171.84558274185528</v>
      </c>
    </row>
    <row r="13" spans="1:5" ht="12.75">
      <c r="A13" s="150" t="s">
        <v>301</v>
      </c>
      <c r="B13" s="42"/>
      <c r="C13" s="42"/>
      <c r="D13" s="42"/>
      <c r="E13" s="42"/>
    </row>
    <row r="14" spans="1:5" ht="12.75">
      <c r="A14" s="42" t="s">
        <v>300</v>
      </c>
      <c r="B14" s="42"/>
      <c r="C14" s="195">
        <f>+'PLAZO BS CAMBIO'!C24</f>
        <v>99.38031075503763</v>
      </c>
      <c r="D14" s="195">
        <f>+'PLAZO BS CAMBIO'!D24</f>
        <v>82.35825485296945</v>
      </c>
      <c r="E14" s="195">
        <v>106.7</v>
      </c>
    </row>
    <row r="15" spans="1:5" ht="12.75">
      <c r="A15" s="42" t="s">
        <v>256</v>
      </c>
      <c r="B15" s="42"/>
      <c r="C15" s="195">
        <f>+'PLAZO BS CAMBIO'!C30</f>
        <v>60.07562277580071</v>
      </c>
      <c r="D15" s="195">
        <f>+'PLAZO BS CAMBIO'!D30</f>
        <v>54.82466393921683</v>
      </c>
      <c r="E15" s="195">
        <v>63.9</v>
      </c>
    </row>
    <row r="16" spans="1:5" ht="12.75">
      <c r="A16" s="42" t="s">
        <v>33</v>
      </c>
      <c r="B16" s="42"/>
      <c r="C16" s="196">
        <f>+'PLAZO CRED'!C13</f>
        <v>46.35149422552313</v>
      </c>
      <c r="D16" s="196">
        <f>+'PLAZO CRED'!D13</f>
        <v>40.780648310523745</v>
      </c>
      <c r="E16" s="196">
        <v>54.6</v>
      </c>
    </row>
    <row r="17" spans="1:5" ht="12.75">
      <c r="A17" s="42" t="s">
        <v>299</v>
      </c>
      <c r="B17" s="42"/>
      <c r="C17" s="195">
        <f>SUM(C14:C16)</f>
        <v>205.80742775636148</v>
      </c>
      <c r="D17" s="195">
        <f>SUM(D14:D16)</f>
        <v>177.96356710271004</v>
      </c>
      <c r="E17" s="195">
        <f>SUM(E14:E16)</f>
        <v>225.2</v>
      </c>
    </row>
    <row r="18" spans="1:5" ht="12.75">
      <c r="A18" s="42" t="s">
        <v>298</v>
      </c>
      <c r="B18" s="42"/>
      <c r="C18" s="196">
        <f>+'PLAZO PAS OPERAT'!C21</f>
        <v>70.29646259235626</v>
      </c>
      <c r="D18" s="196">
        <f>+'PLAZO PAS OPERAT'!D21</f>
        <v>62.27423840051263</v>
      </c>
      <c r="E18" s="196">
        <f>+'PLAZO PAS OPERAT'!E21</f>
        <v>64.02709598690961</v>
      </c>
    </row>
    <row r="19" spans="1:5" ht="12.75">
      <c r="A19" s="45" t="s">
        <v>297</v>
      </c>
      <c r="B19" s="45"/>
      <c r="C19" s="196">
        <f>+C17-C18</f>
        <v>135.5109651640052</v>
      </c>
      <c r="D19" s="196">
        <f>+D17-D18</f>
        <v>115.68932870219741</v>
      </c>
      <c r="E19" s="196">
        <f>+E17-E18</f>
        <v>161.17290401309037</v>
      </c>
    </row>
  </sheetData>
  <sheetProtection sheet="1" objects="1" scenarios="1"/>
  <printOptions/>
  <pageMargins left="0.75" right="0.75" top="1" bottom="1" header="0" footer="0"/>
  <pageSetup orientation="portrait" paperSize="9"/>
</worksheet>
</file>

<file path=xl/worksheets/sheet35.xml><?xml version="1.0" encoding="utf-8"?>
<worksheet xmlns="http://schemas.openxmlformats.org/spreadsheetml/2006/main" xmlns:r="http://schemas.openxmlformats.org/officeDocument/2006/relationships">
  <dimension ref="A1:E27"/>
  <sheetViews>
    <sheetView workbookViewId="0" topLeftCell="A1">
      <selection activeCell="A1" sqref="A1"/>
    </sheetView>
  </sheetViews>
  <sheetFormatPr defaultColWidth="11.421875" defaultRowHeight="12.75"/>
  <cols>
    <col min="1" max="1" width="30.7109375" style="49" customWidth="1"/>
    <col min="2" max="5" width="8.7109375" style="49" customWidth="1"/>
    <col min="6" max="16384" width="11.421875" style="49" customWidth="1"/>
  </cols>
  <sheetData>
    <row r="1" spans="1:5" ht="12.75">
      <c r="A1" s="36" t="str">
        <f>+VENTAS!A1</f>
        <v>AFIC - Ejercicio de Aplicación 1</v>
      </c>
      <c r="B1" s="37"/>
      <c r="C1" s="37"/>
      <c r="D1" s="37"/>
      <c r="E1" s="37"/>
    </row>
    <row r="2" spans="1:5" ht="12.75">
      <c r="A2" s="36" t="str">
        <f>+VENTAS!A2</f>
        <v>SIDERAR S.A.</v>
      </c>
      <c r="B2" s="37"/>
      <c r="C2" s="37"/>
      <c r="D2" s="37"/>
      <c r="E2" s="37"/>
    </row>
    <row r="3" spans="1:5" ht="12.75">
      <c r="A3" s="37"/>
      <c r="B3" s="37"/>
      <c r="C3" s="37"/>
      <c r="D3" s="37"/>
      <c r="E3" s="37"/>
    </row>
    <row r="4" spans="1:5" ht="12.75">
      <c r="A4" s="38" t="s">
        <v>341</v>
      </c>
      <c r="B4" s="39"/>
      <c r="C4" s="39"/>
      <c r="D4" s="39"/>
      <c r="E4" s="39"/>
    </row>
    <row r="5" spans="1:5" ht="12.75">
      <c r="A5" s="40"/>
      <c r="B5" s="189">
        <v>1996</v>
      </c>
      <c r="C5" s="189">
        <v>1997</v>
      </c>
      <c r="D5" s="189">
        <v>1998</v>
      </c>
      <c r="E5" s="189">
        <v>1999</v>
      </c>
    </row>
    <row r="6" spans="1:5" ht="12.75">
      <c r="A6" s="42" t="s">
        <v>342</v>
      </c>
      <c r="B6" s="47">
        <f>+'EST PATRIM'!B12</f>
        <v>409.4</v>
      </c>
      <c r="C6" s="47">
        <f>+'EST PATRIM'!C12</f>
        <v>404.9</v>
      </c>
      <c r="D6" s="47">
        <f>+'EST PATRIM'!D12</f>
        <v>443.20000000000005</v>
      </c>
      <c r="E6" s="47">
        <f>+'EST PATRIM'!E12</f>
        <v>457.6</v>
      </c>
    </row>
    <row r="7" spans="1:5" ht="12.75">
      <c r="A7" s="42" t="s">
        <v>343</v>
      </c>
      <c r="B7" s="48">
        <f>+'EST PATRIM'!B23</f>
        <v>366.9</v>
      </c>
      <c r="C7" s="48">
        <f>+'EST PATRIM'!C23</f>
        <v>257.8</v>
      </c>
      <c r="D7" s="48">
        <f>+'EST PATRIM'!D23</f>
        <v>236.5</v>
      </c>
      <c r="E7" s="48">
        <f>+'EST PATRIM'!E23</f>
        <v>253.2</v>
      </c>
    </row>
    <row r="8" spans="1:5" ht="12.75">
      <c r="A8" s="60" t="s">
        <v>344</v>
      </c>
      <c r="B8" s="61">
        <f>+B6-B7</f>
        <v>42.5</v>
      </c>
      <c r="C8" s="61">
        <f>+C6-C7</f>
        <v>147.09999999999997</v>
      </c>
      <c r="D8" s="61">
        <f>+D6-D7</f>
        <v>206.70000000000005</v>
      </c>
      <c r="E8" s="61">
        <f>+E6-E7</f>
        <v>204.40000000000003</v>
      </c>
    </row>
    <row r="9" spans="1:5" ht="12.75">
      <c r="A9" s="69" t="s">
        <v>345</v>
      </c>
      <c r="B9" s="103">
        <f>+B8/'EST RESULT'!B6</f>
        <v>0.045275380845850643</v>
      </c>
      <c r="C9" s="103">
        <f>+C8/'EST RESULT'!C6</f>
        <v>0.1453700958592746</v>
      </c>
      <c r="D9" s="103">
        <f>+D8/'EST RESULT'!D6</f>
        <v>0.17569060773480666</v>
      </c>
      <c r="E9" s="103">
        <f>+E8/'EST RESULT'!E6</f>
        <v>0.20736532413513242</v>
      </c>
    </row>
    <row r="10" spans="1:5" ht="12.75">
      <c r="A10" s="39"/>
      <c r="B10" s="39"/>
      <c r="C10" s="39"/>
      <c r="D10" s="39"/>
      <c r="E10" s="39"/>
    </row>
    <row r="11" spans="1:5" ht="12.75">
      <c r="A11" s="79" t="s">
        <v>33</v>
      </c>
      <c r="B11" s="178">
        <f>+'EST PATRIM'!B9</f>
        <v>156</v>
      </c>
      <c r="C11" s="178">
        <f>+'EST PATRIM'!C9</f>
        <v>145</v>
      </c>
      <c r="D11" s="178">
        <f>+'EST PATRIM'!D9</f>
        <v>164</v>
      </c>
      <c r="E11" s="178">
        <f>+'EST PATRIM'!E9</f>
        <v>173.4</v>
      </c>
    </row>
    <row r="12" spans="1:5" ht="12.75">
      <c r="A12" s="42" t="s">
        <v>31</v>
      </c>
      <c r="B12" s="48">
        <f>+'EST PATRIM'!B11</f>
        <v>226.3</v>
      </c>
      <c r="C12" s="48">
        <f>+'EST PATRIM'!C11</f>
        <v>238.5</v>
      </c>
      <c r="D12" s="48">
        <f>+'EST PATRIM'!D11</f>
        <v>253.3</v>
      </c>
      <c r="E12" s="48">
        <f>+'EST PATRIM'!E11</f>
        <v>257.5</v>
      </c>
    </row>
    <row r="13" spans="1:5" ht="12.75">
      <c r="A13" s="42" t="s">
        <v>346</v>
      </c>
      <c r="B13" s="191">
        <f>+B11+B12</f>
        <v>382.3</v>
      </c>
      <c r="C13" s="191">
        <f>+C11+C12</f>
        <v>383.5</v>
      </c>
      <c r="D13" s="191">
        <f>+D11+D12</f>
        <v>417.3</v>
      </c>
      <c r="E13" s="191">
        <f>+E11+E12</f>
        <v>430.9</v>
      </c>
    </row>
    <row r="14" spans="1:5" ht="12.75">
      <c r="A14" s="42" t="s">
        <v>24</v>
      </c>
      <c r="B14" s="47">
        <f>+'EST PATRIM'!B18</f>
        <v>135.3</v>
      </c>
      <c r="C14" s="47">
        <f>+'EST PATRIM'!C18</f>
        <v>139.4</v>
      </c>
      <c r="D14" s="47">
        <f>+'EST PATRIM'!D18</f>
        <v>133.9</v>
      </c>
      <c r="E14" s="47">
        <f>+'EST PATRIM'!E18</f>
        <v>104</v>
      </c>
    </row>
    <row r="15" spans="1:5" ht="12.75">
      <c r="A15" s="42" t="s">
        <v>23</v>
      </c>
      <c r="B15" s="47">
        <f>+'EST PATRIM'!B20</f>
        <v>25</v>
      </c>
      <c r="C15" s="47">
        <f>+'EST PATRIM'!C20</f>
        <v>31</v>
      </c>
      <c r="D15" s="47">
        <f>+'EST PATRIM'!D20</f>
        <v>37.8</v>
      </c>
      <c r="E15" s="47">
        <f>+'EST PATRIM'!E20</f>
        <v>37</v>
      </c>
    </row>
    <row r="16" spans="1:5" ht="12.75">
      <c r="A16" s="42" t="s">
        <v>22</v>
      </c>
      <c r="B16" s="48">
        <f>+'EST PATRIM'!B21</f>
        <v>9</v>
      </c>
      <c r="C16" s="48">
        <f>+'EST PATRIM'!C21</f>
        <v>11</v>
      </c>
      <c r="D16" s="48">
        <f>+'EST PATRIM'!D21</f>
        <v>12.200000000000003</v>
      </c>
      <c r="E16" s="48">
        <f>+'EST PATRIM'!E21</f>
        <v>4</v>
      </c>
    </row>
    <row r="17" spans="1:5" ht="12.75">
      <c r="A17" s="42" t="s">
        <v>347</v>
      </c>
      <c r="B17" s="191">
        <f>+B14+B15+B16</f>
        <v>169.3</v>
      </c>
      <c r="C17" s="191">
        <f>+C14+C15+C16</f>
        <v>181.4</v>
      </c>
      <c r="D17" s="191">
        <f>+D14+D15+D16</f>
        <v>183.89999999999998</v>
      </c>
      <c r="E17" s="191">
        <f>+E14+E15+E16</f>
        <v>145</v>
      </c>
    </row>
    <row r="18" spans="1:5" ht="12.75">
      <c r="A18" s="60" t="s">
        <v>348</v>
      </c>
      <c r="B18" s="61">
        <f>+B13-B17</f>
        <v>213</v>
      </c>
      <c r="C18" s="61">
        <f>+C13-C17</f>
        <v>202.1</v>
      </c>
      <c r="D18" s="61">
        <f>+D13-D17</f>
        <v>233.40000000000003</v>
      </c>
      <c r="E18" s="61">
        <f>+E13-E17</f>
        <v>285.9</v>
      </c>
    </row>
    <row r="19" spans="1:5" ht="12.75">
      <c r="A19" s="69" t="s">
        <v>349</v>
      </c>
      <c r="B19" s="103">
        <f>+B18/'EST RESULT'!B6</f>
        <v>0.22690955576861616</v>
      </c>
      <c r="C19" s="103">
        <f>+C18/'EST RESULT'!C6</f>
        <v>0.1997232928154956</v>
      </c>
      <c r="D19" s="103">
        <f>+D18/'EST RESULT'!D6</f>
        <v>0.19838504037399068</v>
      </c>
      <c r="E19" s="103">
        <f>+E18/'EST RESULT'!E6</f>
        <v>0.2900476818504616</v>
      </c>
    </row>
    <row r="20" spans="1:5" ht="12.75">
      <c r="A20" s="39"/>
      <c r="B20" s="198"/>
      <c r="C20" s="198"/>
      <c r="D20" s="198"/>
      <c r="E20" s="198"/>
    </row>
    <row r="21" spans="1:5" ht="12.75">
      <c r="A21" s="79" t="s">
        <v>34</v>
      </c>
      <c r="B21" s="178">
        <f>+'EST PATRIM'!B8</f>
        <v>12.1</v>
      </c>
      <c r="C21" s="178">
        <f>+'EST PATRIM'!C8</f>
        <v>9.4</v>
      </c>
      <c r="D21" s="178">
        <f>+'EST PATRIM'!D8</f>
        <v>5.9</v>
      </c>
      <c r="E21" s="178">
        <f>+'EST PATRIM'!E8</f>
        <v>3.7</v>
      </c>
    </row>
    <row r="22" spans="1:5" ht="12.75">
      <c r="A22" s="42" t="s">
        <v>32</v>
      </c>
      <c r="B22" s="47">
        <f>+'EST PATRIM'!B10</f>
        <v>15</v>
      </c>
      <c r="C22" s="47">
        <f>+'EST PATRIM'!C10</f>
        <v>12</v>
      </c>
      <c r="D22" s="47">
        <f>+'EST PATRIM'!D10</f>
        <v>20</v>
      </c>
      <c r="E22" s="47">
        <f>+'EST PATRIM'!E10</f>
        <v>23</v>
      </c>
    </row>
    <row r="23" spans="1:5" ht="12.75">
      <c r="A23" s="42" t="s">
        <v>350</v>
      </c>
      <c r="B23" s="191">
        <f>+B21+B22</f>
        <v>27.1</v>
      </c>
      <c r="C23" s="191">
        <f>+C21+C22</f>
        <v>21.4</v>
      </c>
      <c r="D23" s="191">
        <f>+D21+D22</f>
        <v>25.9</v>
      </c>
      <c r="E23" s="191">
        <f>+E21+E22</f>
        <v>26.7</v>
      </c>
    </row>
    <row r="24" spans="1:5" ht="12.75">
      <c r="A24" s="42" t="s">
        <v>18</v>
      </c>
      <c r="B24" s="47">
        <f>+'EST PATRIM'!B19</f>
        <v>194.6</v>
      </c>
      <c r="C24" s="47">
        <f>+'EST PATRIM'!C19</f>
        <v>72.4</v>
      </c>
      <c r="D24" s="47">
        <f>+'EST PATRIM'!D19</f>
        <v>49.6</v>
      </c>
      <c r="E24" s="47">
        <f>+'EST PATRIM'!E19</f>
        <v>103.2</v>
      </c>
    </row>
    <row r="25" spans="1:5" ht="12.75">
      <c r="A25" s="42" t="s">
        <v>21</v>
      </c>
      <c r="B25" s="47">
        <f>+'EST PATRIM'!B22</f>
        <v>3</v>
      </c>
      <c r="C25" s="47">
        <f>+'EST PATRIM'!C22</f>
        <v>4</v>
      </c>
      <c r="D25" s="47">
        <f>+'EST PATRIM'!D22</f>
        <v>3</v>
      </c>
      <c r="E25" s="47">
        <f>+'EST PATRIM'!E22</f>
        <v>5</v>
      </c>
    </row>
    <row r="26" spans="1:5" ht="12.75">
      <c r="A26" s="42" t="s">
        <v>351</v>
      </c>
      <c r="B26" s="191">
        <f>+B24+B25</f>
        <v>197.6</v>
      </c>
      <c r="C26" s="191">
        <f>+C24+C25</f>
        <v>76.4</v>
      </c>
      <c r="D26" s="191">
        <f>+D24+D25</f>
        <v>52.6</v>
      </c>
      <c r="E26" s="191">
        <f>+E24+E25</f>
        <v>108.2</v>
      </c>
    </row>
    <row r="27" spans="1:5" ht="12.75">
      <c r="A27" s="45" t="s">
        <v>352</v>
      </c>
      <c r="B27" s="48">
        <f>+B23-B26</f>
        <v>-170.5</v>
      </c>
      <c r="C27" s="48">
        <f>+C23-C26</f>
        <v>-55.00000000000001</v>
      </c>
      <c r="D27" s="48">
        <f>+D23-D26</f>
        <v>-26.700000000000003</v>
      </c>
      <c r="E27" s="48">
        <f>+E23-E26</f>
        <v>-81.5</v>
      </c>
    </row>
  </sheetData>
  <sheetProtection sheet="1" objects="1" scenarios="1"/>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11.421875" defaultRowHeight="12.75"/>
  <cols>
    <col min="1" max="1" width="35.7109375" style="49" customWidth="1"/>
    <col min="2" max="5" width="8.7109375" style="49" customWidth="1"/>
    <col min="6" max="16384" width="11.421875" style="49" customWidth="1"/>
  </cols>
  <sheetData>
    <row r="1" spans="1:5" ht="12.75">
      <c r="A1" s="36" t="str">
        <f>+VENTAS!A1</f>
        <v>AFIC - Ejercicio de Aplicación 1</v>
      </c>
      <c r="B1" s="37"/>
      <c r="C1" s="37"/>
      <c r="D1" s="37"/>
      <c r="E1" s="37"/>
    </row>
    <row r="2" spans="1:5" ht="12.75">
      <c r="A2" s="36" t="str">
        <f>+VENTAS!A2</f>
        <v>SIDERAR S.A.</v>
      </c>
      <c r="B2" s="37"/>
      <c r="C2" s="37"/>
      <c r="D2" s="37"/>
      <c r="E2" s="37"/>
    </row>
    <row r="3" spans="1:5" ht="12.75">
      <c r="A3" s="37"/>
      <c r="B3" s="37"/>
      <c r="C3" s="37"/>
      <c r="D3" s="37"/>
      <c r="E3" s="37"/>
    </row>
    <row r="4" spans="1:5" ht="12.75">
      <c r="A4" s="38" t="s">
        <v>55</v>
      </c>
      <c r="B4" s="39"/>
      <c r="C4" s="39"/>
      <c r="D4" s="68"/>
      <c r="E4" s="39"/>
    </row>
    <row r="5" spans="1:5" ht="12.75">
      <c r="A5" s="40"/>
      <c r="B5" s="41">
        <v>1996</v>
      </c>
      <c r="C5" s="41">
        <v>1997</v>
      </c>
      <c r="D5" s="41">
        <v>1998</v>
      </c>
      <c r="E5" s="41">
        <v>1999</v>
      </c>
    </row>
    <row r="6" spans="1:5" ht="12.75">
      <c r="A6" s="42" t="s">
        <v>54</v>
      </c>
      <c r="B6" s="47">
        <v>938.7</v>
      </c>
      <c r="C6" s="47">
        <v>1011.9</v>
      </c>
      <c r="D6" s="47">
        <v>1176.5</v>
      </c>
      <c r="E6" s="47">
        <v>985.7</v>
      </c>
    </row>
    <row r="7" spans="1:5" ht="12.75">
      <c r="A7" s="42" t="s">
        <v>53</v>
      </c>
      <c r="B7" s="47">
        <v>-707.8</v>
      </c>
      <c r="C7" s="47">
        <v>-730.6</v>
      </c>
      <c r="D7" s="47">
        <v>-855.5</v>
      </c>
      <c r="E7" s="47">
        <v>-763.4</v>
      </c>
    </row>
    <row r="8" spans="1:5" ht="12.75">
      <c r="A8" s="60" t="s">
        <v>52</v>
      </c>
      <c r="B8" s="61">
        <f>SUM(B6:B7)</f>
        <v>230.9000000000001</v>
      </c>
      <c r="C8" s="61">
        <f>SUM(C6:C7)</f>
        <v>281.29999999999995</v>
      </c>
      <c r="D8" s="61">
        <f>SUM(D6:D7)</f>
        <v>321</v>
      </c>
      <c r="E8" s="61">
        <f>SUM(E6:E7)</f>
        <v>222.30000000000007</v>
      </c>
    </row>
    <row r="9" spans="1:5" ht="12.75">
      <c r="A9" s="42" t="s">
        <v>51</v>
      </c>
      <c r="B9" s="47">
        <v>-29.1</v>
      </c>
      <c r="C9" s="47">
        <v>-25.2</v>
      </c>
      <c r="D9" s="47">
        <v>-26.3</v>
      </c>
      <c r="E9" s="47">
        <v>-25.5</v>
      </c>
    </row>
    <row r="10" spans="1:5" ht="12.75">
      <c r="A10" s="42" t="s">
        <v>50</v>
      </c>
      <c r="B10" s="47">
        <v>-75.1</v>
      </c>
      <c r="C10" s="47">
        <v>-80.2</v>
      </c>
      <c r="D10" s="47">
        <v>-80.4</v>
      </c>
      <c r="E10" s="47">
        <v>-72.7</v>
      </c>
    </row>
    <row r="11" spans="1:5" ht="12.75">
      <c r="A11" s="42" t="s">
        <v>49</v>
      </c>
      <c r="B11" s="47">
        <v>-2.7</v>
      </c>
      <c r="C11" s="47">
        <v>-5.3</v>
      </c>
      <c r="D11" s="47">
        <v>-5.5</v>
      </c>
      <c r="E11" s="47">
        <v>-5</v>
      </c>
    </row>
    <row r="12" spans="1:5" ht="12.75">
      <c r="A12" s="42" t="s">
        <v>42</v>
      </c>
      <c r="B12" s="47"/>
      <c r="C12" s="47"/>
      <c r="D12" s="47"/>
      <c r="E12" s="47"/>
    </row>
    <row r="13" spans="1:5" ht="12.75">
      <c r="A13" s="42" t="s">
        <v>48</v>
      </c>
      <c r="B13" s="47">
        <f>+B22+B23</f>
        <v>15.5</v>
      </c>
      <c r="C13" s="47">
        <f>+C22+C23</f>
        <v>15.2</v>
      </c>
      <c r="D13" s="47">
        <f>+D22+D23</f>
        <v>10.200000000000001</v>
      </c>
      <c r="E13" s="47">
        <f>+E22+E23</f>
        <v>4</v>
      </c>
    </row>
    <row r="14" spans="1:5" ht="12.75">
      <c r="A14" s="42" t="s">
        <v>47</v>
      </c>
      <c r="B14" s="47">
        <f>+B24+B25</f>
        <v>-56.8</v>
      </c>
      <c r="C14" s="47">
        <f>+C24+C25</f>
        <v>-44</v>
      </c>
      <c r="D14" s="47">
        <f>+D24+D25</f>
        <v>-39.5</v>
      </c>
      <c r="E14" s="47">
        <f>+E24+E25</f>
        <v>-46.9</v>
      </c>
    </row>
    <row r="15" spans="1:5" ht="12.75">
      <c r="A15" s="42" t="s">
        <v>46</v>
      </c>
      <c r="B15" s="48">
        <v>-27.5</v>
      </c>
      <c r="C15" s="48">
        <v>-49.5</v>
      </c>
      <c r="D15" s="48">
        <v>-61.9</v>
      </c>
      <c r="E15" s="48">
        <v>-24.5</v>
      </c>
    </row>
    <row r="16" spans="1:5" ht="12.75">
      <c r="A16" s="69" t="s">
        <v>45</v>
      </c>
      <c r="B16" s="70">
        <f>SUM(B8:B15)</f>
        <v>55.20000000000012</v>
      </c>
      <c r="C16" s="70">
        <f>SUM(C8:C15)</f>
        <v>92.29999999999995</v>
      </c>
      <c r="D16" s="70">
        <f>SUM(D8:D15)</f>
        <v>117.59999999999997</v>
      </c>
      <c r="E16" s="70">
        <f>SUM(E8:E15)</f>
        <v>51.700000000000074</v>
      </c>
    </row>
    <row r="17" spans="1:5" ht="12.75">
      <c r="A17" s="39" t="s">
        <v>44</v>
      </c>
      <c r="B17" s="71">
        <v>15</v>
      </c>
      <c r="C17" s="71">
        <v>18</v>
      </c>
      <c r="D17" s="71">
        <v>28</v>
      </c>
      <c r="E17" s="71">
        <v>33</v>
      </c>
    </row>
    <row r="18" spans="1:5" ht="12.75">
      <c r="A18" s="39" t="s">
        <v>43</v>
      </c>
      <c r="B18" s="72">
        <f>-B15/(B16-B15)</f>
        <v>0.33252720677146264</v>
      </c>
      <c r="C18" s="72">
        <f>-C15/(C16-C15)</f>
        <v>0.34908321579689716</v>
      </c>
      <c r="D18" s="72">
        <f>-D15/(D16-D15)</f>
        <v>0.34484679665738166</v>
      </c>
      <c r="E18" s="72">
        <f>-E15/(E16-E15)</f>
        <v>0.32152230971128576</v>
      </c>
    </row>
    <row r="19" spans="1:5" ht="12.75">
      <c r="A19" s="39"/>
      <c r="B19" s="39"/>
      <c r="C19" s="39"/>
      <c r="D19" s="39"/>
      <c r="E19" s="39"/>
    </row>
    <row r="20" spans="1:5" ht="12.75">
      <c r="A20" s="39"/>
      <c r="B20" s="39"/>
      <c r="C20" s="39"/>
      <c r="D20" s="39"/>
      <c r="E20" s="39"/>
    </row>
    <row r="21" spans="1:5" ht="12.75">
      <c r="A21" s="40" t="s">
        <v>42</v>
      </c>
      <c r="B21" s="41">
        <v>1996</v>
      </c>
      <c r="C21" s="41">
        <v>1997</v>
      </c>
      <c r="D21" s="41">
        <v>1998</v>
      </c>
      <c r="E21" s="41">
        <v>1999</v>
      </c>
    </row>
    <row r="22" spans="1:5" ht="12.75">
      <c r="A22" s="42" t="s">
        <v>41</v>
      </c>
      <c r="B22" s="47">
        <v>1</v>
      </c>
      <c r="C22" s="47">
        <v>2.7</v>
      </c>
      <c r="D22" s="47">
        <v>-3.6</v>
      </c>
      <c r="E22" s="47">
        <v>-8</v>
      </c>
    </row>
    <row r="23" spans="1:5" ht="12.75">
      <c r="A23" s="42" t="s">
        <v>40</v>
      </c>
      <c r="B23" s="47">
        <v>14.5</v>
      </c>
      <c r="C23" s="47">
        <v>12.5</v>
      </c>
      <c r="D23" s="47">
        <v>13.8</v>
      </c>
      <c r="E23" s="47">
        <v>12</v>
      </c>
    </row>
    <row r="24" spans="1:5" ht="12.75">
      <c r="A24" s="42" t="s">
        <v>39</v>
      </c>
      <c r="B24" s="47">
        <v>-12</v>
      </c>
      <c r="C24" s="47">
        <v>-11.5</v>
      </c>
      <c r="D24" s="47">
        <v>-11</v>
      </c>
      <c r="E24" s="47">
        <v>-9.4</v>
      </c>
    </row>
    <row r="25" spans="1:5" ht="12.75">
      <c r="A25" s="45" t="s">
        <v>38</v>
      </c>
      <c r="B25" s="48">
        <v>-44.8</v>
      </c>
      <c r="C25" s="48">
        <v>-32.5</v>
      </c>
      <c r="D25" s="48">
        <v>-28.5</v>
      </c>
      <c r="E25" s="48">
        <v>-37.5</v>
      </c>
    </row>
  </sheetData>
  <sheetProtection sheet="1" objects="1" scenarios="1"/>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E31"/>
  <sheetViews>
    <sheetView workbookViewId="0" topLeftCell="A1">
      <selection activeCell="A1" sqref="A1"/>
    </sheetView>
  </sheetViews>
  <sheetFormatPr defaultColWidth="11.421875" defaultRowHeight="12.75"/>
  <cols>
    <col min="1" max="1" width="30.7109375" style="49" customWidth="1"/>
    <col min="2" max="5" width="8.7109375" style="49" customWidth="1"/>
    <col min="6" max="16384" width="11.421875" style="49" customWidth="1"/>
  </cols>
  <sheetData>
    <row r="1" spans="1:5" ht="12.75">
      <c r="A1" s="36" t="str">
        <f>+VENTAS!A1</f>
        <v>AFIC - Ejercicio de Aplicación 1</v>
      </c>
      <c r="B1" s="37"/>
      <c r="C1" s="37"/>
      <c r="D1" s="37"/>
      <c r="E1" s="37"/>
    </row>
    <row r="2" spans="1:5" ht="12.75">
      <c r="A2" s="36" t="str">
        <f>+VENTAS!A2</f>
        <v>SIDERAR S.A.</v>
      </c>
      <c r="B2" s="37"/>
      <c r="C2" s="37"/>
      <c r="D2" s="37"/>
      <c r="E2" s="37"/>
    </row>
    <row r="3" spans="1:5" ht="12.75">
      <c r="A3" s="37"/>
      <c r="B3" s="37"/>
      <c r="C3" s="37"/>
      <c r="D3" s="37"/>
      <c r="E3" s="37"/>
    </row>
    <row r="4" spans="1:5" ht="12.75">
      <c r="A4" s="38" t="s">
        <v>65</v>
      </c>
      <c r="B4" s="39"/>
      <c r="C4" s="39"/>
      <c r="D4" s="39"/>
      <c r="E4" s="39"/>
    </row>
    <row r="5" spans="1:5" ht="12.75">
      <c r="A5" s="40"/>
      <c r="B5" s="41">
        <v>1996</v>
      </c>
      <c r="C5" s="41">
        <v>1997</v>
      </c>
      <c r="D5" s="41">
        <v>1998</v>
      </c>
      <c r="E5" s="41">
        <v>1999</v>
      </c>
    </row>
    <row r="6" spans="1:5" ht="12.75">
      <c r="A6" s="42" t="s">
        <v>35</v>
      </c>
      <c r="B6" s="47"/>
      <c r="C6" s="47"/>
      <c r="D6" s="47"/>
      <c r="E6" s="47"/>
    </row>
    <row r="7" spans="1:5" ht="12.75">
      <c r="A7" s="42" t="s">
        <v>34</v>
      </c>
      <c r="B7" s="47">
        <f>+'EST PATRIM'!B8</f>
        <v>12.1</v>
      </c>
      <c r="C7" s="47">
        <f>+'EST PATRIM'!C8</f>
        <v>9.4</v>
      </c>
      <c r="D7" s="47">
        <f>+'EST PATRIM'!D8</f>
        <v>5.9</v>
      </c>
      <c r="E7" s="47">
        <f>+'EST PATRIM'!E8</f>
        <v>3.7</v>
      </c>
    </row>
    <row r="8" spans="1:5" ht="12.75">
      <c r="A8" s="42" t="s">
        <v>33</v>
      </c>
      <c r="B8" s="47">
        <f>+'EST PATRIM'!B9</f>
        <v>156</v>
      </c>
      <c r="C8" s="47">
        <f>+'EST PATRIM'!C9</f>
        <v>145</v>
      </c>
      <c r="D8" s="47">
        <f>+'EST PATRIM'!D9</f>
        <v>164</v>
      </c>
      <c r="E8" s="47">
        <f>+'EST PATRIM'!E9</f>
        <v>173.4</v>
      </c>
    </row>
    <row r="9" spans="1:5" ht="12.75">
      <c r="A9" s="42" t="s">
        <v>32</v>
      </c>
      <c r="B9" s="47">
        <f>+'EST PATRIM'!B10</f>
        <v>15</v>
      </c>
      <c r="C9" s="47">
        <f>+'EST PATRIM'!C10</f>
        <v>12</v>
      </c>
      <c r="D9" s="47">
        <f>+'EST PATRIM'!D10</f>
        <v>20</v>
      </c>
      <c r="E9" s="47">
        <f>+'EST PATRIM'!E10</f>
        <v>23</v>
      </c>
    </row>
    <row r="10" spans="1:5" ht="12.75">
      <c r="A10" s="42" t="s">
        <v>31</v>
      </c>
      <c r="B10" s="47">
        <f>+'EST PATRIM'!B11</f>
        <v>226.3</v>
      </c>
      <c r="C10" s="47">
        <f>+'EST PATRIM'!C11</f>
        <v>238.5</v>
      </c>
      <c r="D10" s="47">
        <f>+'EST PATRIM'!D11</f>
        <v>253.3</v>
      </c>
      <c r="E10" s="47">
        <f>+'EST PATRIM'!E11</f>
        <v>257.5</v>
      </c>
    </row>
    <row r="11" spans="1:5" ht="12.75">
      <c r="A11" s="60" t="s">
        <v>64</v>
      </c>
      <c r="B11" s="61">
        <f>SUM(B7:B10)</f>
        <v>409.4</v>
      </c>
      <c r="C11" s="61">
        <f>SUM(C7:C10)</f>
        <v>404.9</v>
      </c>
      <c r="D11" s="61">
        <f>SUM(D7:D10)</f>
        <v>443.20000000000005</v>
      </c>
      <c r="E11" s="61">
        <f>SUM(E7:E10)</f>
        <v>457.6</v>
      </c>
    </row>
    <row r="12" spans="1:5" ht="12.75">
      <c r="A12" s="42" t="s">
        <v>29</v>
      </c>
      <c r="B12" s="47">
        <f>+'EST PATRIM'!B13</f>
        <v>655.5</v>
      </c>
      <c r="C12" s="47">
        <f>+'EST PATRIM'!C13</f>
        <v>656.5</v>
      </c>
      <c r="D12" s="47">
        <f>+'EST PATRIM'!D13</f>
        <v>679.4</v>
      </c>
      <c r="E12" s="47">
        <f>+'EST PATRIM'!E13</f>
        <v>710.4</v>
      </c>
    </row>
    <row r="13" spans="1:5" ht="12.75">
      <c r="A13" s="42" t="s">
        <v>28</v>
      </c>
      <c r="B13" s="47">
        <f>+'EST PATRIM'!B14</f>
        <v>45</v>
      </c>
      <c r="C13" s="47">
        <f>+'EST PATRIM'!C14</f>
        <v>38</v>
      </c>
      <c r="D13" s="47">
        <f>+'EST PATRIM'!D14</f>
        <v>49</v>
      </c>
      <c r="E13" s="47">
        <f>+'EST PATRIM'!E14</f>
        <v>41</v>
      </c>
    </row>
    <row r="14" spans="1:5" ht="12.75">
      <c r="A14" s="60" t="s">
        <v>63</v>
      </c>
      <c r="B14" s="62">
        <f>SUM(B12:B13)</f>
        <v>700.5</v>
      </c>
      <c r="C14" s="62">
        <f>SUM(C12:C13)</f>
        <v>694.5</v>
      </c>
      <c r="D14" s="62">
        <f>SUM(D12:D13)</f>
        <v>728.4</v>
      </c>
      <c r="E14" s="62">
        <f>SUM(E12:E13)</f>
        <v>751.4</v>
      </c>
    </row>
    <row r="15" spans="1:5" ht="12.75">
      <c r="A15" s="63" t="s">
        <v>62</v>
      </c>
      <c r="B15" s="64">
        <f>+B11+B14</f>
        <v>1109.9</v>
      </c>
      <c r="C15" s="64">
        <f>+C11+C14</f>
        <v>1099.4</v>
      </c>
      <c r="D15" s="64">
        <f>+D11+D14</f>
        <v>1171.6</v>
      </c>
      <c r="E15" s="64">
        <f>+E11+E14</f>
        <v>1209</v>
      </c>
    </row>
    <row r="16" spans="1:5" ht="12.75">
      <c r="A16" s="42" t="s">
        <v>25</v>
      </c>
      <c r="B16" s="47"/>
      <c r="C16" s="47"/>
      <c r="D16" s="47"/>
      <c r="E16" s="47"/>
    </row>
    <row r="17" spans="1:5" ht="12.75">
      <c r="A17" s="42" t="s">
        <v>24</v>
      </c>
      <c r="B17" s="47">
        <f>+'EST PATRIM'!B18</f>
        <v>135.3</v>
      </c>
      <c r="C17" s="47">
        <f>+'EST PATRIM'!C18</f>
        <v>139.4</v>
      </c>
      <c r="D17" s="47">
        <f>+'EST PATRIM'!D18</f>
        <v>133.9</v>
      </c>
      <c r="E17" s="47">
        <f>+'EST PATRIM'!E18</f>
        <v>104</v>
      </c>
    </row>
    <row r="18" spans="1:5" ht="12.75">
      <c r="A18" s="42" t="s">
        <v>23</v>
      </c>
      <c r="B18" s="47">
        <f>+'EST PATRIM'!B20</f>
        <v>25</v>
      </c>
      <c r="C18" s="47">
        <f>+'EST PATRIM'!C20</f>
        <v>31</v>
      </c>
      <c r="D18" s="47">
        <f>+'EST PATRIM'!D20</f>
        <v>37.8</v>
      </c>
      <c r="E18" s="47">
        <f>+'EST PATRIM'!E20</f>
        <v>37</v>
      </c>
    </row>
    <row r="19" spans="1:5" ht="12.75">
      <c r="A19" s="42" t="s">
        <v>22</v>
      </c>
      <c r="B19" s="47">
        <f>+'EST PATRIM'!B21</f>
        <v>9</v>
      </c>
      <c r="C19" s="47">
        <f>+'EST PATRIM'!C21</f>
        <v>11</v>
      </c>
      <c r="D19" s="47">
        <f>+'EST PATRIM'!D21</f>
        <v>12.200000000000003</v>
      </c>
      <c r="E19" s="47">
        <f>+'EST PATRIM'!E21</f>
        <v>4</v>
      </c>
    </row>
    <row r="20" spans="1:5" ht="12.75">
      <c r="A20" s="42" t="s">
        <v>21</v>
      </c>
      <c r="B20" s="47">
        <f>+'EST PATRIM'!B22</f>
        <v>3</v>
      </c>
      <c r="C20" s="47">
        <f>+'EST PATRIM'!C22</f>
        <v>4</v>
      </c>
      <c r="D20" s="47">
        <f>+'EST PATRIM'!D22</f>
        <v>3</v>
      </c>
      <c r="E20" s="47">
        <f>+'EST PATRIM'!E22</f>
        <v>5</v>
      </c>
    </row>
    <row r="21" spans="1:5" ht="12.75">
      <c r="A21" s="60" t="s">
        <v>61</v>
      </c>
      <c r="B21" s="61">
        <f>SUM(B17:B20)</f>
        <v>172.3</v>
      </c>
      <c r="C21" s="61">
        <f>SUM(C17:C20)</f>
        <v>185.4</v>
      </c>
      <c r="D21" s="61">
        <f>SUM(D17:D20)</f>
        <v>186.89999999999998</v>
      </c>
      <c r="E21" s="61">
        <f>SUM(E17:E20)</f>
        <v>150</v>
      </c>
    </row>
    <row r="22" spans="1:5" ht="12.75">
      <c r="A22" s="42" t="s">
        <v>19</v>
      </c>
      <c r="B22" s="47">
        <f>+'EST PATRIM'!B24</f>
        <v>20.5</v>
      </c>
      <c r="C22" s="47">
        <f>+'EST PATRIM'!C24</f>
        <v>22.1</v>
      </c>
      <c r="D22" s="47">
        <f>+'EST PATRIM'!D24</f>
        <v>18.4</v>
      </c>
      <c r="E22" s="47">
        <f>+'EST PATRIM'!E24</f>
        <v>12.8</v>
      </c>
    </row>
    <row r="23" spans="1:5" ht="12.75">
      <c r="A23" s="42" t="s">
        <v>17</v>
      </c>
      <c r="B23" s="47">
        <f>+'EST PATRIM'!B26</f>
        <v>4</v>
      </c>
      <c r="C23" s="47">
        <f>+'EST PATRIM'!C26</f>
        <v>3.8</v>
      </c>
      <c r="D23" s="47">
        <f>+'EST PATRIM'!D26</f>
        <v>5.1</v>
      </c>
      <c r="E23" s="47">
        <f>+'EST PATRIM'!E26</f>
        <v>5.5</v>
      </c>
    </row>
    <row r="24" spans="1:5" ht="12.75">
      <c r="A24" s="60" t="s">
        <v>60</v>
      </c>
      <c r="B24" s="61">
        <f>SUM(B22:B23)</f>
        <v>24.5</v>
      </c>
      <c r="C24" s="61">
        <f>SUM(C22:C23)</f>
        <v>25.900000000000002</v>
      </c>
      <c r="D24" s="61">
        <f>SUM(D22:D23)</f>
        <v>23.5</v>
      </c>
      <c r="E24" s="61">
        <f>SUM(E22:E23)</f>
        <v>18.3</v>
      </c>
    </row>
    <row r="25" spans="1:5" ht="12.75">
      <c r="A25" s="60" t="s">
        <v>59</v>
      </c>
      <c r="B25" s="61">
        <f>+B21+B24</f>
        <v>196.8</v>
      </c>
      <c r="C25" s="61">
        <f>+C21+C24</f>
        <v>211.3</v>
      </c>
      <c r="D25" s="61">
        <f>+D21+D24</f>
        <v>210.39999999999998</v>
      </c>
      <c r="E25" s="61">
        <f>+E21+E24</f>
        <v>168.3</v>
      </c>
    </row>
    <row r="26" spans="1:5" ht="12.75">
      <c r="A26" s="60"/>
      <c r="B26" s="61"/>
      <c r="C26" s="61"/>
      <c r="D26" s="61"/>
      <c r="E26" s="61"/>
    </row>
    <row r="27" spans="1:5" ht="12.75">
      <c r="A27" s="42" t="s">
        <v>58</v>
      </c>
      <c r="B27" s="47">
        <f>+'EST PATRIM'!B19</f>
        <v>194.6</v>
      </c>
      <c r="C27" s="47">
        <f>+'EST PATRIM'!C19</f>
        <v>72.4</v>
      </c>
      <c r="D27" s="47">
        <f>+'EST PATRIM'!D19</f>
        <v>49.6</v>
      </c>
      <c r="E27" s="47">
        <f>+'EST PATRIM'!E19</f>
        <v>103.2</v>
      </c>
    </row>
    <row r="28" spans="1:5" ht="12.75">
      <c r="A28" s="42" t="s">
        <v>57</v>
      </c>
      <c r="B28" s="47">
        <f>+'EST PATRIM'!B25</f>
        <v>180.9</v>
      </c>
      <c r="C28" s="47">
        <f>+'EST PATRIM'!C25</f>
        <v>203.8</v>
      </c>
      <c r="D28" s="47">
        <f>+'EST PATRIM'!D25</f>
        <v>210.1</v>
      </c>
      <c r="E28" s="47">
        <f>+'EST PATRIM'!E25</f>
        <v>217.3</v>
      </c>
    </row>
    <row r="29" spans="1:5" ht="12.75">
      <c r="A29" s="60" t="s">
        <v>56</v>
      </c>
      <c r="B29" s="70">
        <f>SUM(B27:B28)</f>
        <v>375.5</v>
      </c>
      <c r="C29" s="70">
        <f>SUM(C27:C28)</f>
        <v>276.20000000000005</v>
      </c>
      <c r="D29" s="70">
        <f>SUM(D27:D28)</f>
        <v>259.7</v>
      </c>
      <c r="E29" s="70">
        <f>SUM(E27:E28)</f>
        <v>320.5</v>
      </c>
    </row>
    <row r="30" spans="1:5" ht="12.75">
      <c r="A30" s="63" t="s">
        <v>15</v>
      </c>
      <c r="B30" s="64">
        <f>+B25+B29</f>
        <v>572.3</v>
      </c>
      <c r="C30" s="64">
        <f>+C25+C29</f>
        <v>487.50000000000006</v>
      </c>
      <c r="D30" s="64">
        <f>+D25+D29</f>
        <v>470.09999999999997</v>
      </c>
      <c r="E30" s="64">
        <f>+E25+E29</f>
        <v>488.8</v>
      </c>
    </row>
    <row r="31" spans="1:5" ht="12.75">
      <c r="A31" s="65" t="s">
        <v>14</v>
      </c>
      <c r="B31" s="66">
        <f>+'EST PATRIM'!B29</f>
        <v>537.6</v>
      </c>
      <c r="C31" s="66">
        <f>+'EST PATRIM'!C29</f>
        <v>611.9</v>
      </c>
      <c r="D31" s="66">
        <f>+'EST PATRIM'!D29</f>
        <v>701.5</v>
      </c>
      <c r="E31" s="66">
        <f>+'EST PATRIM'!E29</f>
        <v>720.2</v>
      </c>
    </row>
  </sheetData>
  <sheetProtection sheet="1" objects="1" scenarios="1"/>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E43"/>
  <sheetViews>
    <sheetView workbookViewId="0" topLeftCell="A1">
      <selection activeCell="A1" sqref="A1"/>
    </sheetView>
  </sheetViews>
  <sheetFormatPr defaultColWidth="11.421875" defaultRowHeight="12.75"/>
  <cols>
    <col min="1" max="1" width="37.7109375" style="49" customWidth="1"/>
    <col min="2" max="5" width="8.7109375" style="49" customWidth="1"/>
    <col min="6" max="16384" width="11.421875" style="49" customWidth="1"/>
  </cols>
  <sheetData>
    <row r="1" spans="1:4" ht="12.75">
      <c r="A1" s="36" t="str">
        <f>+VENTAS!A1</f>
        <v>AFIC - Ejercicio de Aplicación 1</v>
      </c>
      <c r="B1" s="37"/>
      <c r="C1" s="37"/>
      <c r="D1" s="37"/>
    </row>
    <row r="2" spans="1:4" ht="12.75">
      <c r="A2" s="36" t="str">
        <f>+VENTAS!A2</f>
        <v>SIDERAR S.A.</v>
      </c>
      <c r="B2" s="37"/>
      <c r="C2" s="37"/>
      <c r="D2" s="37"/>
    </row>
    <row r="3" spans="1:5" ht="12.75">
      <c r="A3" s="37"/>
      <c r="B3" s="37"/>
      <c r="C3" s="37"/>
      <c r="D3" s="37"/>
      <c r="E3" s="73" t="s">
        <v>305</v>
      </c>
    </row>
    <row r="4" spans="1:5" ht="12.75">
      <c r="A4" s="38" t="s">
        <v>76</v>
      </c>
      <c r="B4" s="39"/>
      <c r="C4" s="39"/>
      <c r="D4" s="39"/>
      <c r="E4" s="50"/>
    </row>
    <row r="5" spans="1:5" ht="12.75">
      <c r="A5" s="79"/>
      <c r="B5" s="41">
        <v>1996</v>
      </c>
      <c r="C5" s="41">
        <v>1997</v>
      </c>
      <c r="D5" s="41">
        <v>1998</v>
      </c>
      <c r="E5" s="51">
        <v>1999</v>
      </c>
    </row>
    <row r="6" spans="1:5" ht="12.75">
      <c r="A6" s="42" t="s">
        <v>54</v>
      </c>
      <c r="B6" s="47">
        <f>+'EST RESULT'!B6</f>
        <v>938.7</v>
      </c>
      <c r="C6" s="47">
        <f>+'EST RESULT'!C6</f>
        <v>1011.9</v>
      </c>
      <c r="D6" s="47">
        <f>+'EST RESULT'!D6</f>
        <v>1176.5</v>
      </c>
      <c r="E6" s="56"/>
    </row>
    <row r="7" spans="1:5" ht="12.75">
      <c r="A7" s="42" t="s">
        <v>53</v>
      </c>
      <c r="B7" s="47">
        <f>+'EST RESULT'!B7</f>
        <v>-707.8</v>
      </c>
      <c r="C7" s="47">
        <f>+'EST RESULT'!C7</f>
        <v>-730.6</v>
      </c>
      <c r="D7" s="47">
        <f>+'EST RESULT'!D7</f>
        <v>-855.5</v>
      </c>
      <c r="E7" s="56"/>
    </row>
    <row r="8" spans="1:5" ht="12.75">
      <c r="A8" s="60" t="s">
        <v>52</v>
      </c>
      <c r="B8" s="61">
        <f>SUM(B6:B7)</f>
        <v>230.9000000000001</v>
      </c>
      <c r="C8" s="61">
        <f>SUM(C6:C7)</f>
        <v>281.29999999999995</v>
      </c>
      <c r="D8" s="61">
        <f>SUM(D6:D7)</f>
        <v>321</v>
      </c>
      <c r="E8" s="58"/>
    </row>
    <row r="9" spans="1:5" ht="12.75">
      <c r="A9" s="42" t="s">
        <v>51</v>
      </c>
      <c r="B9" s="47">
        <f>+'EST RESULT'!B9</f>
        <v>-29.1</v>
      </c>
      <c r="C9" s="47">
        <f>+'EST RESULT'!C9</f>
        <v>-25.2</v>
      </c>
      <c r="D9" s="47">
        <f>+'EST RESULT'!D9</f>
        <v>-26.3</v>
      </c>
      <c r="E9" s="56"/>
    </row>
    <row r="10" spans="1:5" ht="12.75">
      <c r="A10" s="42" t="s">
        <v>50</v>
      </c>
      <c r="B10" s="47">
        <f>+'EST RESULT'!B10</f>
        <v>-75.1</v>
      </c>
      <c r="C10" s="47">
        <f>+'EST RESULT'!C10</f>
        <v>-80.2</v>
      </c>
      <c r="D10" s="47">
        <f>+'EST RESULT'!D10</f>
        <v>-80.4</v>
      </c>
      <c r="E10" s="56"/>
    </row>
    <row r="11" spans="1:5" ht="12.75">
      <c r="A11" s="42" t="s">
        <v>49</v>
      </c>
      <c r="B11" s="47">
        <f>+'EST RESULT'!B11</f>
        <v>-2.7</v>
      </c>
      <c r="C11" s="47">
        <f>+'EST RESULT'!C11</f>
        <v>-5.3</v>
      </c>
      <c r="D11" s="47">
        <f>+'EST RESULT'!D11</f>
        <v>-5.5</v>
      </c>
      <c r="E11" s="56"/>
    </row>
    <row r="12" spans="1:5" ht="12.75">
      <c r="A12" s="42" t="s">
        <v>72</v>
      </c>
      <c r="B12" s="47">
        <f>+'EST RESULT'!B22</f>
        <v>1</v>
      </c>
      <c r="C12" s="47">
        <f>+'EST RESULT'!C22</f>
        <v>2.7</v>
      </c>
      <c r="D12" s="47">
        <f>+'EST RESULT'!D22</f>
        <v>-3.6</v>
      </c>
      <c r="E12" s="56"/>
    </row>
    <row r="13" spans="1:5" ht="12.75">
      <c r="A13" s="42" t="s">
        <v>71</v>
      </c>
      <c r="B13" s="47">
        <f>+'EST RESULT'!B23</f>
        <v>14.5</v>
      </c>
      <c r="C13" s="47">
        <f>+'EST RESULT'!C23</f>
        <v>12.5</v>
      </c>
      <c r="D13" s="47">
        <f>+'EST RESULT'!D23</f>
        <v>13.8</v>
      </c>
      <c r="E13" s="56"/>
    </row>
    <row r="14" spans="1:5" ht="12.75">
      <c r="A14" s="42" t="s">
        <v>70</v>
      </c>
      <c r="B14" s="47">
        <f>+'EST RESULT'!B24</f>
        <v>-12</v>
      </c>
      <c r="C14" s="47">
        <f>+'EST RESULT'!C24</f>
        <v>-11.5</v>
      </c>
      <c r="D14" s="47">
        <f>+'EST RESULT'!D24</f>
        <v>-11</v>
      </c>
      <c r="E14" s="56"/>
    </row>
    <row r="15" spans="1:5" ht="12.75">
      <c r="A15" s="42" t="s">
        <v>69</v>
      </c>
      <c r="B15" s="47">
        <f>SUM(B8:B14)</f>
        <v>127.50000000000011</v>
      </c>
      <c r="C15" s="47">
        <f>SUM(C8:C14)</f>
        <v>174.29999999999995</v>
      </c>
      <c r="D15" s="47">
        <f>SUM(D8:D14)</f>
        <v>208</v>
      </c>
      <c r="E15" s="56"/>
    </row>
    <row r="16" spans="1:5" ht="12.75">
      <c r="A16" s="42" t="s">
        <v>67</v>
      </c>
      <c r="B16" s="47">
        <f>+'EST RESULT'!B25</f>
        <v>-44.8</v>
      </c>
      <c r="C16" s="47">
        <f>+'EST RESULT'!C25</f>
        <v>-32.5</v>
      </c>
      <c r="D16" s="47">
        <f>+'EST RESULT'!D25</f>
        <v>-28.5</v>
      </c>
      <c r="E16" s="56"/>
    </row>
    <row r="17" spans="1:5" ht="12.75">
      <c r="A17" s="42" t="s">
        <v>46</v>
      </c>
      <c r="B17" s="48">
        <f>+'EST RESULT'!B15</f>
        <v>-27.5</v>
      </c>
      <c r="C17" s="48">
        <f>+'EST RESULT'!C15</f>
        <v>-49.5</v>
      </c>
      <c r="D17" s="48">
        <f>+'EST RESULT'!D15</f>
        <v>-61.9</v>
      </c>
      <c r="E17" s="57"/>
    </row>
    <row r="18" spans="1:5" ht="12.75">
      <c r="A18" s="69" t="s">
        <v>45</v>
      </c>
      <c r="B18" s="70">
        <f>+B15+B16+B17</f>
        <v>55.20000000000012</v>
      </c>
      <c r="C18" s="70">
        <f>+C15+C16+C17</f>
        <v>92.29999999999995</v>
      </c>
      <c r="D18" s="70">
        <f>+D15+D16+D17</f>
        <v>117.6</v>
      </c>
      <c r="E18" s="67"/>
    </row>
    <row r="19" spans="1:5" ht="12.75">
      <c r="A19" s="39"/>
      <c r="B19" s="80"/>
      <c r="C19" s="80"/>
      <c r="D19" s="80"/>
      <c r="E19" s="75"/>
    </row>
    <row r="20" spans="1:5" ht="12.75">
      <c r="A20" s="39"/>
      <c r="B20" s="41">
        <v>1996</v>
      </c>
      <c r="C20" s="41">
        <v>1997</v>
      </c>
      <c r="D20" s="41">
        <v>1998</v>
      </c>
      <c r="E20" s="51">
        <v>1999</v>
      </c>
    </row>
    <row r="21" spans="1:5" ht="12.75">
      <c r="A21" s="79" t="s">
        <v>43</v>
      </c>
      <c r="B21" s="81">
        <v>0.33</v>
      </c>
      <c r="C21" s="81">
        <v>0.33</v>
      </c>
      <c r="D21" s="81">
        <v>0.33</v>
      </c>
      <c r="E21" s="76">
        <v>0.35</v>
      </c>
    </row>
    <row r="22" spans="1:5" ht="12.75">
      <c r="A22" s="42" t="s">
        <v>75</v>
      </c>
      <c r="B22" s="82">
        <f>+B17</f>
        <v>-27.5</v>
      </c>
      <c r="C22" s="82">
        <f>+C17</f>
        <v>-49.5</v>
      </c>
      <c r="D22" s="82">
        <f>+D17</f>
        <v>-61.9</v>
      </c>
      <c r="E22" s="77"/>
    </row>
    <row r="23" spans="1:5" ht="12.75">
      <c r="A23" s="42" t="s">
        <v>67</v>
      </c>
      <c r="B23" s="83">
        <f>+B16</f>
        <v>-44.8</v>
      </c>
      <c r="C23" s="83">
        <f>+C16</f>
        <v>-32.5</v>
      </c>
      <c r="D23" s="83">
        <f>+D16</f>
        <v>-28.5</v>
      </c>
      <c r="E23" s="78"/>
    </row>
    <row r="24" spans="1:5" ht="12.75">
      <c r="A24" s="42" t="s">
        <v>74</v>
      </c>
      <c r="B24" s="47">
        <f>-B23*B21</f>
        <v>14.783999999999999</v>
      </c>
      <c r="C24" s="47">
        <f>-C23*C21</f>
        <v>10.725</v>
      </c>
      <c r="D24" s="47">
        <f>-D23*D21</f>
        <v>9.405000000000001</v>
      </c>
      <c r="E24" s="56"/>
    </row>
    <row r="25" spans="1:5" ht="12.75">
      <c r="A25" s="45" t="s">
        <v>73</v>
      </c>
      <c r="B25" s="48">
        <f>+B17-B24</f>
        <v>-42.284</v>
      </c>
      <c r="C25" s="48">
        <f>+C17-C24</f>
        <v>-60.225</v>
      </c>
      <c r="D25" s="48">
        <f>+D17-D24</f>
        <v>-71.305</v>
      </c>
      <c r="E25" s="57"/>
    </row>
    <row r="26" spans="1:5" ht="12.75">
      <c r="A26" s="39"/>
      <c r="B26" s="39"/>
      <c r="C26" s="39"/>
      <c r="D26" s="39"/>
      <c r="E26" s="50"/>
    </row>
    <row r="27" spans="1:5" ht="12.75">
      <c r="A27" s="79"/>
      <c r="B27" s="41">
        <v>1996</v>
      </c>
      <c r="C27" s="41">
        <v>1997</v>
      </c>
      <c r="D27" s="41">
        <v>1998</v>
      </c>
      <c r="E27" s="51">
        <v>1999</v>
      </c>
    </row>
    <row r="28" spans="1:5" ht="12.75">
      <c r="A28" s="42" t="s">
        <v>54</v>
      </c>
      <c r="B28" s="47">
        <f aca="true" t="shared" si="0" ref="B28:D29">+B6</f>
        <v>938.7</v>
      </c>
      <c r="C28" s="47">
        <f t="shared" si="0"/>
        <v>1011.9</v>
      </c>
      <c r="D28" s="47">
        <f t="shared" si="0"/>
        <v>1176.5</v>
      </c>
      <c r="E28" s="56"/>
    </row>
    <row r="29" spans="1:5" ht="12.75">
      <c r="A29" s="42" t="s">
        <v>53</v>
      </c>
      <c r="B29" s="47">
        <f t="shared" si="0"/>
        <v>-707.8</v>
      </c>
      <c r="C29" s="47">
        <f t="shared" si="0"/>
        <v>-730.6</v>
      </c>
      <c r="D29" s="47">
        <f t="shared" si="0"/>
        <v>-855.5</v>
      </c>
      <c r="E29" s="56"/>
    </row>
    <row r="30" spans="1:5" ht="12.75">
      <c r="A30" s="60" t="s">
        <v>52</v>
      </c>
      <c r="B30" s="61">
        <f>SUM(B28:B29)</f>
        <v>230.9000000000001</v>
      </c>
      <c r="C30" s="61">
        <f>SUM(C28:C29)</f>
        <v>281.29999999999995</v>
      </c>
      <c r="D30" s="61">
        <f>SUM(D28:D29)</f>
        <v>321</v>
      </c>
      <c r="E30" s="58"/>
    </row>
    <row r="31" spans="1:5" ht="12.75">
      <c r="A31" s="42" t="s">
        <v>51</v>
      </c>
      <c r="B31" s="47">
        <f aca="true" t="shared" si="1" ref="B31:D36">+B9</f>
        <v>-29.1</v>
      </c>
      <c r="C31" s="47">
        <f t="shared" si="1"/>
        <v>-25.2</v>
      </c>
      <c r="D31" s="47">
        <f t="shared" si="1"/>
        <v>-26.3</v>
      </c>
      <c r="E31" s="56"/>
    </row>
    <row r="32" spans="1:5" ht="12.75">
      <c r="A32" s="42" t="s">
        <v>50</v>
      </c>
      <c r="B32" s="47">
        <f t="shared" si="1"/>
        <v>-75.1</v>
      </c>
      <c r="C32" s="47">
        <f t="shared" si="1"/>
        <v>-80.2</v>
      </c>
      <c r="D32" s="47">
        <f t="shared" si="1"/>
        <v>-80.4</v>
      </c>
      <c r="E32" s="56"/>
    </row>
    <row r="33" spans="1:5" ht="12.75">
      <c r="A33" s="42" t="s">
        <v>49</v>
      </c>
      <c r="B33" s="47">
        <f t="shared" si="1"/>
        <v>-2.7</v>
      </c>
      <c r="C33" s="47">
        <f t="shared" si="1"/>
        <v>-5.3</v>
      </c>
      <c r="D33" s="47">
        <f t="shared" si="1"/>
        <v>-5.5</v>
      </c>
      <c r="E33" s="56"/>
    </row>
    <row r="34" spans="1:5" ht="12.75">
      <c r="A34" s="42" t="s">
        <v>72</v>
      </c>
      <c r="B34" s="47">
        <f t="shared" si="1"/>
        <v>1</v>
      </c>
      <c r="C34" s="47">
        <f t="shared" si="1"/>
        <v>2.7</v>
      </c>
      <c r="D34" s="47">
        <f t="shared" si="1"/>
        <v>-3.6</v>
      </c>
      <c r="E34" s="56"/>
    </row>
    <row r="35" spans="1:5" ht="12.75">
      <c r="A35" s="42" t="s">
        <v>71</v>
      </c>
      <c r="B35" s="47">
        <f t="shared" si="1"/>
        <v>14.5</v>
      </c>
      <c r="C35" s="47">
        <f t="shared" si="1"/>
        <v>12.5</v>
      </c>
      <c r="D35" s="47">
        <f t="shared" si="1"/>
        <v>13.8</v>
      </c>
      <c r="E35" s="56"/>
    </row>
    <row r="36" spans="1:5" ht="12.75">
      <c r="A36" s="42" t="s">
        <v>70</v>
      </c>
      <c r="B36" s="47">
        <f t="shared" si="1"/>
        <v>-12</v>
      </c>
      <c r="C36" s="47">
        <f t="shared" si="1"/>
        <v>-11.5</v>
      </c>
      <c r="D36" s="47">
        <f t="shared" si="1"/>
        <v>-11</v>
      </c>
      <c r="E36" s="56"/>
    </row>
    <row r="37" spans="1:5" ht="12.75">
      <c r="A37" s="42" t="s">
        <v>69</v>
      </c>
      <c r="B37" s="47">
        <f>SUM(B30:B36)</f>
        <v>127.50000000000011</v>
      </c>
      <c r="C37" s="47">
        <f>SUM(C30:C36)</f>
        <v>174.29999999999995</v>
      </c>
      <c r="D37" s="47">
        <f>SUM(D30:D36)</f>
        <v>208</v>
      </c>
      <c r="E37" s="56"/>
    </row>
    <row r="38" spans="1:5" ht="12.75">
      <c r="A38" s="42" t="s">
        <v>46</v>
      </c>
      <c r="B38" s="47">
        <f>+B25</f>
        <v>-42.284</v>
      </c>
      <c r="C38" s="47">
        <f>+C25</f>
        <v>-60.225</v>
      </c>
      <c r="D38" s="47">
        <f>+D25</f>
        <v>-71.305</v>
      </c>
      <c r="E38" s="56"/>
    </row>
    <row r="39" spans="1:5" ht="12.75">
      <c r="A39" s="60" t="s">
        <v>68</v>
      </c>
      <c r="B39" s="61">
        <f>+B37+B38</f>
        <v>85.21600000000012</v>
      </c>
      <c r="C39" s="61">
        <f>+C37+C38</f>
        <v>114.07499999999996</v>
      </c>
      <c r="D39" s="61">
        <f>+D37+D38</f>
        <v>136.695</v>
      </c>
      <c r="E39" s="58"/>
    </row>
    <row r="40" spans="1:5" ht="12.75">
      <c r="A40" s="42" t="s">
        <v>67</v>
      </c>
      <c r="B40" s="47">
        <f>+B16</f>
        <v>-44.8</v>
      </c>
      <c r="C40" s="47">
        <f>+C16</f>
        <v>-32.5</v>
      </c>
      <c r="D40" s="47">
        <f>+D16</f>
        <v>-28.5</v>
      </c>
      <c r="E40" s="56"/>
    </row>
    <row r="41" spans="1:5" ht="12.75">
      <c r="A41" s="42" t="s">
        <v>46</v>
      </c>
      <c r="B41" s="47">
        <f>+B24</f>
        <v>14.783999999999999</v>
      </c>
      <c r="C41" s="47">
        <f>+C24</f>
        <v>10.725</v>
      </c>
      <c r="D41" s="47">
        <f>+D24</f>
        <v>9.405000000000001</v>
      </c>
      <c r="E41" s="56"/>
    </row>
    <row r="42" spans="1:5" ht="12.75">
      <c r="A42" s="60" t="s">
        <v>66</v>
      </c>
      <c r="B42" s="70">
        <f>+B40+B41</f>
        <v>-30.016</v>
      </c>
      <c r="C42" s="70">
        <f>+C40+C41</f>
        <v>-21.775</v>
      </c>
      <c r="D42" s="70">
        <f>+D40+D41</f>
        <v>-19.095</v>
      </c>
      <c r="E42" s="67"/>
    </row>
    <row r="43" spans="1:5" ht="12.75">
      <c r="A43" s="69" t="s">
        <v>45</v>
      </c>
      <c r="B43" s="70">
        <f>+B39+B42</f>
        <v>55.200000000000124</v>
      </c>
      <c r="C43" s="70">
        <f>+C39+C42</f>
        <v>92.29999999999995</v>
      </c>
      <c r="D43" s="70">
        <f>+D39+D42</f>
        <v>117.6</v>
      </c>
      <c r="E43" s="67"/>
    </row>
  </sheetData>
  <sheetProtection sheet="1" objects="1" scenarios="1"/>
  <printOptions/>
  <pageMargins left="0.75" right="0.75" top="1" bottom="1"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11.421875" defaultRowHeight="12.75"/>
  <cols>
    <col min="1" max="1" width="30.7109375" style="49" customWidth="1"/>
    <col min="2" max="5" width="8.7109375" style="49" customWidth="1"/>
    <col min="6" max="16384" width="11.421875" style="49" customWidth="1"/>
  </cols>
  <sheetData>
    <row r="1" spans="1:5" ht="12.75">
      <c r="A1" s="36" t="str">
        <f>+VENTAS!A1</f>
        <v>AFIC - Ejercicio de Aplicación 1</v>
      </c>
      <c r="B1" s="37"/>
      <c r="C1" s="37"/>
      <c r="D1" s="37"/>
      <c r="E1" s="37"/>
    </row>
    <row r="2" spans="1:5" ht="12.75">
      <c r="A2" s="36" t="str">
        <f>+VENTAS!A2</f>
        <v>SIDERAR S.A.</v>
      </c>
      <c r="B2" s="37"/>
      <c r="C2" s="37"/>
      <c r="D2" s="37"/>
      <c r="E2" s="37"/>
    </row>
    <row r="3" spans="1:5" ht="12.75">
      <c r="A3" s="37"/>
      <c r="B3" s="37"/>
      <c r="C3" s="37"/>
      <c r="D3" s="37"/>
      <c r="E3" s="37"/>
    </row>
    <row r="4" spans="1:5" ht="12.75">
      <c r="A4" s="38" t="s">
        <v>86</v>
      </c>
      <c r="B4" s="39"/>
      <c r="C4" s="39"/>
      <c r="D4" s="39"/>
      <c r="E4" s="39"/>
    </row>
    <row r="5" spans="1:5" ht="12.75">
      <c r="A5" s="38" t="s">
        <v>37</v>
      </c>
      <c r="B5" s="39"/>
      <c r="C5" s="39"/>
      <c r="D5" s="39"/>
      <c r="E5" s="39"/>
    </row>
    <row r="6" spans="1:5" ht="12.75">
      <c r="A6" s="79"/>
      <c r="B6" s="41">
        <v>1996</v>
      </c>
      <c r="C6" s="41">
        <v>1997</v>
      </c>
      <c r="D6" s="41">
        <v>1998</v>
      </c>
      <c r="E6" s="41">
        <v>1999</v>
      </c>
    </row>
    <row r="7" spans="1:5" ht="12.75">
      <c r="A7" s="42" t="s">
        <v>85</v>
      </c>
      <c r="B7" s="84">
        <f>+'EST PATR REORD'!B11</f>
        <v>409.4</v>
      </c>
      <c r="C7" s="84">
        <f>+'EST PATR REORD'!C11</f>
        <v>404.9</v>
      </c>
      <c r="D7" s="84">
        <f>+'EST PATR REORD'!D11</f>
        <v>443.20000000000005</v>
      </c>
      <c r="E7" s="84">
        <f>+'EST PATR REORD'!E11</f>
        <v>457.6</v>
      </c>
    </row>
    <row r="8" spans="1:5" ht="12.75">
      <c r="A8" s="42" t="s">
        <v>84</v>
      </c>
      <c r="B8" s="84">
        <f>+'EST PATR REORD'!B14</f>
        <v>700.5</v>
      </c>
      <c r="C8" s="84">
        <f>+'EST PATR REORD'!C14</f>
        <v>694.5</v>
      </c>
      <c r="D8" s="84">
        <f>+'EST PATR REORD'!D14</f>
        <v>728.4</v>
      </c>
      <c r="E8" s="84">
        <f>+'EST PATR REORD'!E14</f>
        <v>751.4</v>
      </c>
    </row>
    <row r="9" spans="1:5" ht="12.75">
      <c r="A9" s="42" t="s">
        <v>83</v>
      </c>
      <c r="B9" s="84">
        <f>+'EST PATR REORD'!B21</f>
        <v>172.3</v>
      </c>
      <c r="C9" s="84">
        <f>+'EST PATR REORD'!C21</f>
        <v>185.4</v>
      </c>
      <c r="D9" s="84">
        <f>+'EST PATR REORD'!D21</f>
        <v>186.89999999999998</v>
      </c>
      <c r="E9" s="84">
        <f>+'EST PATR REORD'!E21</f>
        <v>150</v>
      </c>
    </row>
    <row r="10" spans="1:5" ht="12.75">
      <c r="A10" s="42" t="s">
        <v>82</v>
      </c>
      <c r="B10" s="84">
        <f>+'EST PATR REORD'!B23</f>
        <v>4</v>
      </c>
      <c r="C10" s="84">
        <f>+'EST PATR REORD'!C23</f>
        <v>3.8</v>
      </c>
      <c r="D10" s="84">
        <f>+'EST PATR REORD'!D23</f>
        <v>5.1</v>
      </c>
      <c r="E10" s="84">
        <f>+'EST PATR REORD'!E23</f>
        <v>5.5</v>
      </c>
    </row>
    <row r="11" spans="1:5" ht="12.75">
      <c r="A11" s="45" t="s">
        <v>81</v>
      </c>
      <c r="B11" s="85">
        <f>+'EST PATR REORD'!B22</f>
        <v>20.5</v>
      </c>
      <c r="C11" s="85">
        <f>+'EST PATR REORD'!C22</f>
        <v>22.1</v>
      </c>
      <c r="D11" s="85">
        <f>+'EST PATR REORD'!D22</f>
        <v>18.4</v>
      </c>
      <c r="E11" s="85">
        <f>+'EST PATR REORD'!E22</f>
        <v>12.8</v>
      </c>
    </row>
    <row r="12" spans="1:5" ht="12.75">
      <c r="A12" s="42" t="s">
        <v>80</v>
      </c>
      <c r="B12" s="84">
        <f>+B7+B8-B9-B10-B11</f>
        <v>913.1000000000001</v>
      </c>
      <c r="C12" s="84">
        <f>+C7+C8-C9-C10-C11</f>
        <v>888.1000000000001</v>
      </c>
      <c r="D12" s="84">
        <f>+D7+D8-D9-D10-D11</f>
        <v>961.1999999999999</v>
      </c>
      <c r="E12" s="84">
        <f>+E7+E8-E9-E10-E11</f>
        <v>1040.7</v>
      </c>
    </row>
    <row r="13" spans="1:5" ht="12.75">
      <c r="A13" s="42" t="s">
        <v>79</v>
      </c>
      <c r="B13" s="84">
        <f>+'EST PATR REORD'!B29</f>
        <v>375.5</v>
      </c>
      <c r="C13" s="84">
        <f>+'EST PATR REORD'!C29</f>
        <v>276.20000000000005</v>
      </c>
      <c r="D13" s="84">
        <f>+'EST PATR REORD'!D29</f>
        <v>259.7</v>
      </c>
      <c r="E13" s="84">
        <f>+'EST PATR REORD'!E29</f>
        <v>320.5</v>
      </c>
    </row>
    <row r="14" spans="1:5" ht="12.75">
      <c r="A14" s="45" t="s">
        <v>78</v>
      </c>
      <c r="B14" s="85">
        <f>+'EST PATR REORD'!B31</f>
        <v>537.6</v>
      </c>
      <c r="C14" s="85">
        <f>+'EST PATR REORD'!C31</f>
        <v>611.9</v>
      </c>
      <c r="D14" s="85">
        <f>+'EST PATR REORD'!D31</f>
        <v>701.5</v>
      </c>
      <c r="E14" s="85">
        <f>+'EST PATR REORD'!E31</f>
        <v>720.2</v>
      </c>
    </row>
    <row r="15" spans="1:5" ht="12.75">
      <c r="A15" s="39"/>
      <c r="B15" s="39"/>
      <c r="C15" s="39"/>
      <c r="D15" s="39"/>
      <c r="E15" s="39"/>
    </row>
    <row r="16" spans="1:5" ht="12.75">
      <c r="A16" s="38" t="s">
        <v>55</v>
      </c>
      <c r="B16" s="39"/>
      <c r="C16" s="39"/>
      <c r="D16" s="39"/>
      <c r="E16" s="39"/>
    </row>
    <row r="17" spans="1:5" ht="12.75">
      <c r="A17" s="79"/>
      <c r="B17" s="41">
        <v>1996</v>
      </c>
      <c r="C17" s="41">
        <v>1997</v>
      </c>
      <c r="D17" s="41">
        <v>1998</v>
      </c>
      <c r="E17" s="41">
        <v>1999</v>
      </c>
    </row>
    <row r="18" spans="1:5" ht="12.75">
      <c r="A18" s="42" t="s">
        <v>54</v>
      </c>
      <c r="B18" s="47">
        <f>+'EST RESULT REORD'!B28</f>
        <v>938.7</v>
      </c>
      <c r="C18" s="47">
        <f>+'EST RESULT REORD'!C28</f>
        <v>1011.9</v>
      </c>
      <c r="D18" s="47">
        <f>+'EST RESULT REORD'!D28</f>
        <v>1176.5</v>
      </c>
      <c r="E18" s="47">
        <v>985.7</v>
      </c>
    </row>
    <row r="19" spans="1:5" ht="12.75">
      <c r="A19" s="42" t="s">
        <v>52</v>
      </c>
      <c r="B19" s="47">
        <f>+'EST RESULT REORD'!B30</f>
        <v>230.9000000000001</v>
      </c>
      <c r="C19" s="47">
        <f>+'EST RESULT REORD'!C30</f>
        <v>281.29999999999995</v>
      </c>
      <c r="D19" s="47">
        <f>+'EST RESULT REORD'!D30</f>
        <v>321</v>
      </c>
      <c r="E19" s="47">
        <v>222.3</v>
      </c>
    </row>
    <row r="20" spans="1:5" ht="12.75">
      <c r="A20" s="42" t="s">
        <v>77</v>
      </c>
      <c r="B20" s="47">
        <f>+'EST RESULT REORD'!B39</f>
        <v>85.21600000000012</v>
      </c>
      <c r="C20" s="47">
        <f>+'EST RESULT REORD'!C39</f>
        <v>114.07499999999996</v>
      </c>
      <c r="D20" s="47">
        <f>+'EST RESULT REORD'!D39</f>
        <v>136.695</v>
      </c>
      <c r="E20" s="47">
        <v>76.1</v>
      </c>
    </row>
    <row r="21" spans="1:5" ht="12.75">
      <c r="A21" s="42" t="s">
        <v>66</v>
      </c>
      <c r="B21" s="48">
        <f>+'EST RESULT REORD'!B42</f>
        <v>-30.016</v>
      </c>
      <c r="C21" s="48">
        <f>+'EST RESULT REORD'!C42</f>
        <v>-21.775</v>
      </c>
      <c r="D21" s="48">
        <f>+'EST RESULT REORD'!D42</f>
        <v>-19.095</v>
      </c>
      <c r="E21" s="48">
        <v>-24.4</v>
      </c>
    </row>
    <row r="22" spans="1:5" ht="12.75">
      <c r="A22" s="45" t="s">
        <v>45</v>
      </c>
      <c r="B22" s="48">
        <f>+'EST RESULT REORD'!B43</f>
        <v>55.200000000000124</v>
      </c>
      <c r="C22" s="48">
        <f>+'EST RESULT REORD'!C43</f>
        <v>92.29999999999995</v>
      </c>
      <c r="D22" s="48">
        <f>+'EST RESULT REORD'!D43</f>
        <v>117.6</v>
      </c>
      <c r="E22" s="48">
        <v>51.7</v>
      </c>
    </row>
  </sheetData>
  <sheetProtection sheet="1" objects="1" scenarios="1"/>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9.7109375" style="0" customWidth="1"/>
    <col min="2" max="2" width="65.7109375" style="0" customWidth="1"/>
  </cols>
  <sheetData>
    <row r="1" ht="12.75">
      <c r="A1" s="36" t="str">
        <f>+VENTAS!A1</f>
        <v>AFIC - Ejercicio de Aplicación 1</v>
      </c>
    </row>
    <row r="2" ht="12.75">
      <c r="A2" s="36" t="str">
        <f>+VENTAS!A2</f>
        <v>SIDERAR S.A.</v>
      </c>
    </row>
    <row r="3" spans="1:2" ht="12.75">
      <c r="A3" s="34"/>
      <c r="B3" s="35" t="s">
        <v>320</v>
      </c>
    </row>
    <row r="4" ht="12.75">
      <c r="B4" s="29" t="s">
        <v>306</v>
      </c>
    </row>
    <row r="5" ht="12.75">
      <c r="B5" s="29"/>
    </row>
    <row r="6" ht="38.25">
      <c r="B6" s="29" t="s">
        <v>307</v>
      </c>
    </row>
    <row r="7" ht="13.5" thickBot="1"/>
    <row r="8" spans="1:2" ht="24.75" thickBot="1">
      <c r="A8" s="30" t="s">
        <v>304</v>
      </c>
      <c r="B8" s="31"/>
    </row>
    <row r="9" spans="1:2" ht="12.75">
      <c r="A9" s="32"/>
      <c r="B9" s="33"/>
    </row>
    <row r="10" ht="51">
      <c r="B10" s="29" t="s">
        <v>308</v>
      </c>
    </row>
    <row r="11" ht="13.5" thickBot="1"/>
    <row r="12" spans="1:2" ht="24.75" thickBot="1">
      <c r="A12" s="30" t="s">
        <v>304</v>
      </c>
      <c r="B12" s="31"/>
    </row>
  </sheetData>
  <sheetProtection sheet="1" objects="1" scenarios="1"/>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E45"/>
  <sheetViews>
    <sheetView workbookViewId="0" topLeftCell="A1">
      <selection activeCell="A1" sqref="A1"/>
    </sheetView>
  </sheetViews>
  <sheetFormatPr defaultColWidth="11.421875" defaultRowHeight="12.75"/>
  <cols>
    <col min="1" max="1" width="35.7109375" style="49" customWidth="1"/>
    <col min="2" max="5" width="8.7109375" style="49" customWidth="1"/>
    <col min="6" max="16384" width="11.421875" style="49" customWidth="1"/>
  </cols>
  <sheetData>
    <row r="1" spans="1:4" ht="12.75">
      <c r="A1" s="36" t="str">
        <f>+VENTAS!A1</f>
        <v>AFIC - Ejercicio de Aplicación 1</v>
      </c>
      <c r="B1" s="37"/>
      <c r="C1" s="37"/>
      <c r="D1" s="37"/>
    </row>
    <row r="2" spans="1:4" ht="12.75">
      <c r="A2" s="36" t="str">
        <f>+VENTAS!A2</f>
        <v>SIDERAR S.A.</v>
      </c>
      <c r="B2" s="37"/>
      <c r="C2" s="37"/>
      <c r="D2" s="37"/>
    </row>
    <row r="3" spans="1:5" ht="12.75">
      <c r="A3" s="37"/>
      <c r="B3" s="37"/>
      <c r="C3" s="37"/>
      <c r="D3" s="37"/>
      <c r="E3" s="73" t="s">
        <v>305</v>
      </c>
    </row>
    <row r="4" spans="1:5" ht="12.75">
      <c r="A4" s="38" t="s">
        <v>111</v>
      </c>
      <c r="B4" s="39"/>
      <c r="C4" s="39"/>
      <c r="D4" s="39"/>
      <c r="E4" s="50"/>
    </row>
    <row r="5" spans="1:5" ht="12.75">
      <c r="A5" s="40"/>
      <c r="B5" s="41">
        <v>1996</v>
      </c>
      <c r="C5" s="41">
        <v>1997</v>
      </c>
      <c r="D5" s="41">
        <v>1998</v>
      </c>
      <c r="E5" s="51">
        <v>1999</v>
      </c>
    </row>
    <row r="6" spans="1:5" ht="12.75">
      <c r="A6" s="42" t="s">
        <v>54</v>
      </c>
      <c r="B6" s="95">
        <f>+'EST RESULT REORD'!B28</f>
        <v>938.7</v>
      </c>
      <c r="C6" s="95">
        <f>+'EST RESULT REORD'!C28</f>
        <v>1011.9</v>
      </c>
      <c r="D6" s="95">
        <f>+'EST RESULT REORD'!D28</f>
        <v>1176.5</v>
      </c>
      <c r="E6" s="86"/>
    </row>
    <row r="7" spans="1:5" ht="12.75">
      <c r="A7" s="42" t="s">
        <v>52</v>
      </c>
      <c r="B7" s="96">
        <f>+'EST RESULT REORD'!B30</f>
        <v>230.9000000000001</v>
      </c>
      <c r="C7" s="96">
        <f>+'EST RESULT REORD'!C30</f>
        <v>281.29999999999995</v>
      </c>
      <c r="D7" s="96">
        <f>+'EST RESULT REORD'!D30</f>
        <v>321</v>
      </c>
      <c r="E7" s="87"/>
    </row>
    <row r="8" spans="1:5" ht="12.75">
      <c r="A8" s="42" t="s">
        <v>77</v>
      </c>
      <c r="B8" s="97">
        <f>+'EST RESULT REORD'!B39</f>
        <v>85.21600000000012</v>
      </c>
      <c r="C8" s="97">
        <f>+'EST RESULT REORD'!C39</f>
        <v>114.07499999999996</v>
      </c>
      <c r="D8" s="97">
        <f>+'EST RESULT REORD'!D39</f>
        <v>136.695</v>
      </c>
      <c r="E8" s="88"/>
    </row>
    <row r="9" spans="1:5" ht="12.75">
      <c r="A9" s="40" t="s">
        <v>110</v>
      </c>
      <c r="B9" s="98">
        <f>+'EST RESULT REORD'!B30/'EST RESULT REORD'!B28</f>
        <v>0.24597848087780982</v>
      </c>
      <c r="C9" s="98">
        <f>+'EST RESULT REORD'!C30/'EST RESULT REORD'!C28</f>
        <v>0.27799189643245376</v>
      </c>
      <c r="D9" s="98">
        <f>+'EST RESULT REORD'!D30/'EST RESULT REORD'!D28</f>
        <v>0.272843178920527</v>
      </c>
      <c r="E9" s="89"/>
    </row>
    <row r="10" spans="1:5" ht="12.75">
      <c r="A10" s="40" t="s">
        <v>109</v>
      </c>
      <c r="B10" s="98">
        <f>+'EST RESULT REORD'!B39/'EST RESULT REORD'!B28</f>
        <v>0.0907808671567062</v>
      </c>
      <c r="C10" s="98">
        <f>+'EST RESULT REORD'!C39/'EST RESULT REORD'!C28</f>
        <v>0.11273347168692555</v>
      </c>
      <c r="D10" s="98">
        <f>+'EST RESULT REORD'!D39/'EST RESULT REORD'!D28</f>
        <v>0.1161878453038674</v>
      </c>
      <c r="E10" s="89"/>
    </row>
    <row r="11" spans="1:5" ht="12.75">
      <c r="A11" s="46"/>
      <c r="B11" s="99"/>
      <c r="C11" s="99"/>
      <c r="D11" s="99"/>
      <c r="E11" s="90"/>
    </row>
    <row r="12" spans="1:5" ht="12.75">
      <c r="A12" s="100" t="s">
        <v>108</v>
      </c>
      <c r="B12" s="99"/>
      <c r="C12" s="99"/>
      <c r="D12" s="99"/>
      <c r="E12" s="90"/>
    </row>
    <row r="13" spans="1:5" ht="12.75">
      <c r="A13" s="79"/>
      <c r="B13" s="41">
        <v>1996</v>
      </c>
      <c r="C13" s="41">
        <v>1997</v>
      </c>
      <c r="D13" s="41">
        <v>1998</v>
      </c>
      <c r="E13" s="41">
        <v>1999</v>
      </c>
    </row>
    <row r="14" spans="1:5" ht="12.75">
      <c r="A14" s="42" t="s">
        <v>54</v>
      </c>
      <c r="B14" s="101">
        <v>1</v>
      </c>
      <c r="C14" s="101">
        <v>1</v>
      </c>
      <c r="D14" s="101">
        <v>1</v>
      </c>
      <c r="E14" s="101">
        <v>1</v>
      </c>
    </row>
    <row r="15" spans="1:5" ht="12.75">
      <c r="A15" s="42" t="s">
        <v>53</v>
      </c>
      <c r="B15" s="101">
        <f>+'EST RESULT REORD'!B29/'EST RESULT REORD'!B28</f>
        <v>-0.7540215191221902</v>
      </c>
      <c r="C15" s="101">
        <f>+'EST RESULT REORD'!C29/'EST RESULT REORD'!C28</f>
        <v>-0.7220081035675462</v>
      </c>
      <c r="D15" s="101">
        <f>+'EST RESULT REORD'!D29/'EST RESULT REORD'!D28</f>
        <v>-0.727156821079473</v>
      </c>
      <c r="E15" s="101">
        <v>-0.774</v>
      </c>
    </row>
    <row r="16" spans="1:5" ht="12.75">
      <c r="A16" s="60" t="s">
        <v>52</v>
      </c>
      <c r="B16" s="102">
        <f>SUM(B14:B15)</f>
        <v>0.24597848087780982</v>
      </c>
      <c r="C16" s="102">
        <f>SUM(C14:C15)</f>
        <v>0.2779918964324538</v>
      </c>
      <c r="D16" s="102">
        <f>SUM(D14:D15)</f>
        <v>0.272843178920527</v>
      </c>
      <c r="E16" s="102">
        <v>0.226</v>
      </c>
    </row>
    <row r="17" spans="1:5" ht="12.75">
      <c r="A17" s="42" t="s">
        <v>51</v>
      </c>
      <c r="B17" s="101">
        <f>+'EST RESULT REORD'!B31/'EST RESULT REORD'!B28</f>
        <v>-0.031000319590923617</v>
      </c>
      <c r="C17" s="101">
        <f>+'EST RESULT REORD'!C31/'EST RESULT REORD'!C28</f>
        <v>-0.02490364660539579</v>
      </c>
      <c r="D17" s="101">
        <f>+'EST RESULT REORD'!D31/'EST RESULT REORD'!D28</f>
        <v>-0.022354441138971528</v>
      </c>
      <c r="E17" s="101">
        <v>-0.026</v>
      </c>
    </row>
    <row r="18" spans="1:5" ht="12.75">
      <c r="A18" s="42" t="s">
        <v>50</v>
      </c>
      <c r="B18" s="101">
        <f>+'EST RESULT REORD'!B32/'EST RESULT REORD'!B28</f>
        <v>-0.0800042612123149</v>
      </c>
      <c r="C18" s="101">
        <f>+'EST RESULT REORD'!C32/'EST RESULT REORD'!C28</f>
        <v>-0.07925684356161676</v>
      </c>
      <c r="D18" s="101">
        <f>+'EST RESULT REORD'!D32/'EST RESULT REORD'!D28</f>
        <v>-0.06833829154271144</v>
      </c>
      <c r="E18" s="101">
        <v>-0.074</v>
      </c>
    </row>
    <row r="19" spans="1:5" ht="12.75">
      <c r="A19" s="42" t="s">
        <v>107</v>
      </c>
      <c r="B19" s="101">
        <f>SUM('EST RESULT REORD'!B33:B36)/'EST RESULT REORD'!B28</f>
        <v>0.0008522424629807188</v>
      </c>
      <c r="C19" s="101">
        <f>SUM('EST RESULT REORD'!C33:C36)/'EST RESULT REORD'!C28</f>
        <v>-0.0015811839114537006</v>
      </c>
      <c r="D19" s="101">
        <f>SUM('EST RESULT REORD'!D33:D36)/'EST RESULT REORD'!D28</f>
        <v>-0.0053548661283467905</v>
      </c>
      <c r="E19" s="101">
        <v>-0.011</v>
      </c>
    </row>
    <row r="20" spans="1:5" ht="12.75">
      <c r="A20" s="42" t="s">
        <v>69</v>
      </c>
      <c r="B20" s="101">
        <f>SUM(B16:B19)</f>
        <v>0.13582614253755204</v>
      </c>
      <c r="C20" s="101">
        <f>SUM(C16:C19)</f>
        <v>0.17225022235398754</v>
      </c>
      <c r="D20" s="101">
        <f>SUM(D16:D19)</f>
        <v>0.17679558011049729</v>
      </c>
      <c r="E20" s="101">
        <v>0.115</v>
      </c>
    </row>
    <row r="21" spans="1:5" ht="12.75">
      <c r="A21" s="42" t="s">
        <v>46</v>
      </c>
      <c r="B21" s="101">
        <f>+'EST RESULT REORD'!B38/'EST RESULT REORD'!B28</f>
        <v>-0.04504527538084585</v>
      </c>
      <c r="C21" s="101">
        <f>+'EST RESULT REORD'!C38/'EST RESULT REORD'!C28</f>
        <v>-0.05951675066706197</v>
      </c>
      <c r="D21" s="101">
        <f>+'EST RESULT REORD'!D38/'EST RESULT REORD'!D28</f>
        <v>-0.06060773480662984</v>
      </c>
      <c r="E21" s="101">
        <v>-0.038</v>
      </c>
    </row>
    <row r="22" spans="1:5" ht="12.75">
      <c r="A22" s="69" t="s">
        <v>68</v>
      </c>
      <c r="B22" s="103">
        <f>+B20+B21</f>
        <v>0.09078086715670619</v>
      </c>
      <c r="C22" s="103">
        <f>+C20+C21</f>
        <v>0.11273347168692557</v>
      </c>
      <c r="D22" s="103">
        <f>+D20+D21</f>
        <v>0.11618784530386744</v>
      </c>
      <c r="E22" s="103">
        <f>+E20+E21</f>
        <v>0.07700000000000001</v>
      </c>
    </row>
    <row r="23" spans="1:5" ht="12.75">
      <c r="A23" s="46"/>
      <c r="B23" s="99"/>
      <c r="C23" s="99"/>
      <c r="D23" s="99"/>
      <c r="E23" s="99"/>
    </row>
    <row r="24" spans="1:5" ht="12.75">
      <c r="A24" s="100" t="s">
        <v>106</v>
      </c>
      <c r="B24" s="99"/>
      <c r="C24" s="99"/>
      <c r="D24" s="99"/>
      <c r="E24" s="99"/>
    </row>
    <row r="25" spans="1:5" ht="12.75">
      <c r="A25" s="40" t="s">
        <v>90</v>
      </c>
      <c r="B25" s="41">
        <v>1996</v>
      </c>
      <c r="C25" s="41">
        <v>1997</v>
      </c>
      <c r="D25" s="41">
        <v>1998</v>
      </c>
      <c r="E25" s="41">
        <v>1999</v>
      </c>
    </row>
    <row r="26" spans="1:5" ht="12.75">
      <c r="A26" s="79" t="s">
        <v>105</v>
      </c>
      <c r="B26" s="104">
        <f>+VENTAS!B11/VENTAS!B6*1000</f>
        <v>671.6549295774647</v>
      </c>
      <c r="C26" s="104">
        <f>+VENTAS!C11/VENTAS!C6*1000</f>
        <v>669.5616883116883</v>
      </c>
      <c r="D26" s="104">
        <f>+VENTAS!D11/VENTAS!D6*1000</f>
        <v>674.3308167467399</v>
      </c>
      <c r="E26" s="104">
        <f>+VENTAS!E11/VENTAS!E6*1000</f>
        <v>572.620050547599</v>
      </c>
    </row>
    <row r="27" spans="1:5" ht="12.75">
      <c r="A27" s="42" t="s">
        <v>104</v>
      </c>
      <c r="B27" s="43">
        <f>+VENTAS!B12/VENTAS!B7*1000</f>
        <v>329.6435272045028</v>
      </c>
      <c r="C27" s="43">
        <f>+VENTAS!C12/VENTAS!C7*1000</f>
        <v>344.38305709023945</v>
      </c>
      <c r="D27" s="43">
        <f>+VENTAS!D12/VENTAS!D7*1000</f>
        <v>361.2662942271881</v>
      </c>
      <c r="E27" s="43">
        <f>+VENTAS!E12/VENTAS!E7*1000</f>
        <v>369.1194209891435</v>
      </c>
    </row>
    <row r="28" spans="1:5" ht="12.75">
      <c r="A28" s="45" t="s">
        <v>103</v>
      </c>
      <c r="B28" s="44">
        <f>+'EST RESULT'!B6/VENTAS!B8*1000</f>
        <v>562.4325943678849</v>
      </c>
      <c r="C28" s="44">
        <f>+'EST RESULT'!C6/VENTAS!C8*1000</f>
        <v>570.0845070422536</v>
      </c>
      <c r="D28" s="44">
        <f>+'EST RESULT'!D6/VENTAS!D8*1000</f>
        <v>590.0200601805417</v>
      </c>
      <c r="E28" s="44">
        <f>+'EST RESULT'!E6/VENTAS!E8*1000</f>
        <v>488.9384920634921</v>
      </c>
    </row>
    <row r="29" spans="1:5" ht="12.75">
      <c r="A29" s="42" t="s">
        <v>102</v>
      </c>
      <c r="B29" s="43">
        <f>-'EST RESULT REORD'!B7/VENTAS!B8*1000</f>
        <v>424.08627920910726</v>
      </c>
      <c r="C29" s="43">
        <f>-'EST RESULT REORD'!C7/VENTAS!C8*1000</f>
        <v>411.6056338028169</v>
      </c>
      <c r="D29" s="43">
        <f>-'EST RESULT REORD'!D7/VENTAS!D8*1000</f>
        <v>429.037111334002</v>
      </c>
      <c r="E29" s="43">
        <v>379</v>
      </c>
    </row>
    <row r="30" spans="1:5" ht="12.75">
      <c r="A30" s="42" t="s">
        <v>101</v>
      </c>
      <c r="B30" s="43">
        <f>-('EST RESULT REORD'!B9+'EST RESULT REORD'!B10)/VENTAS!B8*1000</f>
        <v>62.43259436788495</v>
      </c>
      <c r="C30" s="43">
        <f>-('EST RESULT REORD'!C9+'EST RESULT REORD'!C10)/VENTAS!C8*1000</f>
        <v>59.38028169014085</v>
      </c>
      <c r="D30" s="43">
        <f>-('EST RESULT REORD'!D9+'EST RESULT REORD'!D10)/VENTAS!D8*1000</f>
        <v>53.510531594784354</v>
      </c>
      <c r="E30" s="43">
        <v>49</v>
      </c>
    </row>
    <row r="31" spans="1:5" ht="12.75">
      <c r="A31" s="45" t="s">
        <v>89</v>
      </c>
      <c r="B31" s="44">
        <f>+'EST RESULT REORD'!B39/VENTAS!B8*1000</f>
        <v>51.05811863391259</v>
      </c>
      <c r="C31" s="44">
        <f>+'EST RESULT REORD'!C39/VENTAS!C8*1000</f>
        <v>64.26760563380279</v>
      </c>
      <c r="D31" s="44">
        <f>+'EST RESULT REORD'!D39/VENTAS!D8*1000</f>
        <v>68.5531594784353</v>
      </c>
      <c r="E31" s="44">
        <v>38</v>
      </c>
    </row>
    <row r="32" spans="1:5" ht="12.75">
      <c r="A32" s="46"/>
      <c r="B32" s="105"/>
      <c r="C32" s="105"/>
      <c r="D32" s="105"/>
      <c r="E32" s="105"/>
    </row>
    <row r="33" spans="1:5" ht="12.75">
      <c r="A33" s="38" t="s">
        <v>100</v>
      </c>
      <c r="B33" s="106"/>
      <c r="C33" s="106"/>
      <c r="D33" s="106"/>
      <c r="E33" s="106"/>
    </row>
    <row r="34" spans="1:5" ht="12.75">
      <c r="A34" s="40" t="s">
        <v>99</v>
      </c>
      <c r="B34" s="41">
        <v>1996</v>
      </c>
      <c r="C34" s="41">
        <v>1997</v>
      </c>
      <c r="D34" s="41">
        <v>1998</v>
      </c>
      <c r="E34" s="41">
        <v>1999</v>
      </c>
    </row>
    <row r="35" spans="1:5" ht="12.75">
      <c r="A35" s="79" t="s">
        <v>98</v>
      </c>
      <c r="B35" s="107"/>
      <c r="C35" s="108">
        <f>+VENTAS!C13/VENTAS!B13-1</f>
        <v>0.07798018536273554</v>
      </c>
      <c r="D35" s="108">
        <f>+VENTAS!D13/VENTAS!C13-1</f>
        <v>0.16266429489079948</v>
      </c>
      <c r="E35" s="108">
        <f>+VENTAS!E13/VENTAS!D13-1</f>
        <v>-0.16217594560135995</v>
      </c>
    </row>
    <row r="36" spans="1:5" ht="12.75">
      <c r="A36" s="45" t="s">
        <v>97</v>
      </c>
      <c r="B36" s="109"/>
      <c r="C36" s="110">
        <f>+VENTAS!C8/VENTAS!B8-1</f>
        <v>0.06351108448172549</v>
      </c>
      <c r="D36" s="110">
        <f>+VENTAS!D8/VENTAS!C8-1</f>
        <v>0.12338028169014081</v>
      </c>
      <c r="E36" s="110">
        <f>+VENTAS!E8/VENTAS!D8-1</f>
        <v>0.011033099297893756</v>
      </c>
    </row>
    <row r="37" spans="1:5" ht="12.75">
      <c r="A37" s="42" t="s">
        <v>96</v>
      </c>
      <c r="B37" s="111">
        <v>1</v>
      </c>
      <c r="C37" s="111">
        <f>+'EST RESULT REORD'!C6/'EST RESULT REORD'!$B6</f>
        <v>1.0779801853627355</v>
      </c>
      <c r="D37" s="111">
        <f>+'EST RESULT REORD'!D6/'EST RESULT REORD'!$B6</f>
        <v>1.2533290721210184</v>
      </c>
      <c r="E37" s="111">
        <v>1.05</v>
      </c>
    </row>
    <row r="38" spans="1:5" ht="12.75">
      <c r="A38" s="42" t="s">
        <v>95</v>
      </c>
      <c r="B38" s="111">
        <f>+B37</f>
        <v>1</v>
      </c>
      <c r="C38" s="111">
        <f>+VENTAS!C8/VENTAS!$B8</f>
        <v>1.0635110844817255</v>
      </c>
      <c r="D38" s="111">
        <f>+VENTAS!D8/VENTAS!$B8</f>
        <v>1.194727381665668</v>
      </c>
      <c r="E38" s="111">
        <f>+VENTAS!E8/VENTAS!$B8</f>
        <v>1.2079089275014978</v>
      </c>
    </row>
    <row r="39" spans="1:5" ht="12.75">
      <c r="A39" s="42" t="s">
        <v>94</v>
      </c>
      <c r="B39" s="111">
        <f>+B38</f>
        <v>1</v>
      </c>
      <c r="C39" s="111">
        <f>+C28/$B28</f>
        <v>1.0136050306312148</v>
      </c>
      <c r="D39" s="111">
        <f>+D28/$B28</f>
        <v>1.0490502614693982</v>
      </c>
      <c r="E39" s="111">
        <f>+E28/$B28</f>
        <v>0.8693281594268333</v>
      </c>
    </row>
    <row r="40" spans="1:5" ht="12.75">
      <c r="A40" s="42" t="s">
        <v>53</v>
      </c>
      <c r="B40" s="111">
        <f>+B39</f>
        <v>1</v>
      </c>
      <c r="C40" s="111">
        <f>+'EST RESULT REORD'!C7/'EST RESULT REORD'!$B7</f>
        <v>1.0322124894037865</v>
      </c>
      <c r="D40" s="111">
        <f>+'EST RESULT REORD'!D7/'EST RESULT REORD'!$B7</f>
        <v>1.2086747668833004</v>
      </c>
      <c r="E40" s="111">
        <v>1.08</v>
      </c>
    </row>
    <row r="41" spans="1:5" ht="12.75">
      <c r="A41" s="42" t="s">
        <v>93</v>
      </c>
      <c r="B41" s="111">
        <f>+B40</f>
        <v>1</v>
      </c>
      <c r="C41" s="111">
        <f>+C29/$B29</f>
        <v>0.9705705041210814</v>
      </c>
      <c r="D41" s="111">
        <f>+D29/$B29</f>
        <v>1.0116741153100444</v>
      </c>
      <c r="E41" s="111">
        <f>+E29/$B29</f>
        <v>0.8936860695111614</v>
      </c>
    </row>
    <row r="42" spans="1:5" ht="12.75">
      <c r="A42" s="42" t="s">
        <v>92</v>
      </c>
      <c r="B42" s="111">
        <v>0</v>
      </c>
      <c r="C42" s="111"/>
      <c r="D42" s="111"/>
      <c r="E42" s="111"/>
    </row>
    <row r="43" spans="1:5" ht="12.75">
      <c r="A43" s="42" t="s">
        <v>91</v>
      </c>
      <c r="B43" s="111">
        <v>1</v>
      </c>
      <c r="C43" s="111">
        <f>('EST RESULT REORD'!C31+'EST RESULT REORD'!C32)/('EST RESULT REORD'!$B31+'EST RESULT REORD'!$B32)</f>
        <v>1.0115163147792707</v>
      </c>
      <c r="D43" s="111">
        <f>('EST RESULT REORD'!D31+'EST RESULT REORD'!D32)/('EST RESULT REORD'!$B31+'EST RESULT REORD'!$B32)</f>
        <v>1.023992322456814</v>
      </c>
      <c r="E43" s="111">
        <v>0.94</v>
      </c>
    </row>
    <row r="44" spans="1:5" ht="12.75">
      <c r="A44" s="42" t="s">
        <v>90</v>
      </c>
      <c r="B44" s="111">
        <v>1</v>
      </c>
      <c r="C44" s="111">
        <f aca="true" t="shared" si="0" ref="C44:E45">+C30/$B30</f>
        <v>0.9511102700656918</v>
      </c>
      <c r="D44" s="111">
        <f t="shared" si="0"/>
        <v>0.8570928717053272</v>
      </c>
      <c r="E44" s="111">
        <f t="shared" si="0"/>
        <v>0.7848464491362765</v>
      </c>
    </row>
    <row r="45" spans="1:5" ht="12.75">
      <c r="A45" s="45" t="s">
        <v>89</v>
      </c>
      <c r="B45" s="109">
        <f>+B41</f>
        <v>1</v>
      </c>
      <c r="C45" s="109">
        <f t="shared" si="0"/>
        <v>1.2587147226203612</v>
      </c>
      <c r="D45" s="109">
        <f t="shared" si="0"/>
        <v>1.3426495396346738</v>
      </c>
      <c r="E45" s="109">
        <f t="shared" si="0"/>
        <v>0.7442499061209152</v>
      </c>
    </row>
  </sheetData>
  <sheetProtection sheet="1" objects="1" scenarios="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FORNERO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RICARDO</cp:lastModifiedBy>
  <dcterms:created xsi:type="dcterms:W3CDTF">2001-03-20T22:35:19Z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