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8940" windowHeight="4305" activeTab="0"/>
  </bookViews>
  <sheets>
    <sheet name="BOD ESMERALDA" sheetId="1" r:id="rId1"/>
    <sheet name="VENTAS" sheetId="2" r:id="rId2"/>
    <sheet name="EST PATRIM" sheetId="3" r:id="rId3"/>
    <sheet name="EST RESULT" sheetId="4" r:id="rId4"/>
    <sheet name="EST PATR REORD" sheetId="5" r:id="rId5"/>
    <sheet name="EST RES REORD" sheetId="6" r:id="rId6"/>
    <sheet name="EST CONT RESUM" sheetId="7" r:id="rId7"/>
    <sheet name="PARTE A - RESP" sheetId="8" r:id="rId8"/>
    <sheet name="ESP PORCENT" sheetId="9" r:id="rId9"/>
    <sheet name="MARGEN" sheetId="10" r:id="rId10"/>
    <sheet name="PARTE B - RESP" sheetId="11" r:id="rId11"/>
    <sheet name="ROTACION" sheetId="12" r:id="rId12"/>
    <sheet name="RENDIMIENTO" sheetId="13" r:id="rId13"/>
    <sheet name="PARTE C - RESP" sheetId="14" r:id="rId14"/>
    <sheet name="COSTOS" sheetId="15" r:id="rId15"/>
    <sheet name="MARGEN CONTRIB" sheetId="16" r:id="rId16"/>
    <sheet name="EF PALANCA" sheetId="17" r:id="rId17"/>
    <sheet name="PARTE C - CALC" sheetId="18" r:id="rId18"/>
    <sheet name="PARTE D - RESP" sheetId="19" r:id="rId19"/>
    <sheet name="FLUJO FONDOS" sheetId="20" r:id="rId20"/>
    <sheet name="PARTE E - RESP" sheetId="21" r:id="rId21"/>
    <sheet name="BS CAMBIO" sheetId="22" r:id="rId22"/>
    <sheet name="CICLO FIN - PLAZOS" sheetId="23" r:id="rId23"/>
    <sheet name="CICLO FIN - DURAC" sheetId="24" r:id="rId24"/>
    <sheet name="CAPITAL DE TRAB" sheetId="25" r:id="rId25"/>
  </sheets>
  <definedNames/>
  <calcPr fullCalcOnLoad="1"/>
</workbook>
</file>

<file path=xl/sharedStrings.xml><?xml version="1.0" encoding="utf-8"?>
<sst xmlns="http://schemas.openxmlformats.org/spreadsheetml/2006/main" count="439" uniqueCount="308">
  <si>
    <t>Manual de Estudio Programado</t>
  </si>
  <si>
    <t>ANALISIS FINANCIERO CON</t>
  </si>
  <si>
    <t>INFORMACION CONTABLE</t>
  </si>
  <si>
    <t>Carrera de Licenciado en Administración</t>
  </si>
  <si>
    <t>Facultad de Ciencias Económicas - U.N.Cuyo</t>
  </si>
  <si>
    <t>Ricardo A. Fornero</t>
  </si>
  <si>
    <t>AFIC - Ejercicio de Aplicación 2</t>
  </si>
  <si>
    <t>BODEGAS ESMERALDA</t>
  </si>
  <si>
    <t>Total</t>
  </si>
  <si>
    <t>Exportaciones</t>
  </si>
  <si>
    <t>Mercado interno</t>
  </si>
  <si>
    <t>VENTAS (miles de cajas)</t>
  </si>
  <si>
    <t>PATRIMONIO NETO</t>
  </si>
  <si>
    <t xml:space="preserve">      Total Pasivo</t>
  </si>
  <si>
    <t xml:space="preserve">      Total Pasivo corriente</t>
  </si>
  <si>
    <t>Pasivo por compra de marca</t>
  </si>
  <si>
    <t>Cargas fiscales</t>
  </si>
  <si>
    <t>Remuneraciones y cargas sociales</t>
  </si>
  <si>
    <t>Préstamos bancarios</t>
  </si>
  <si>
    <t>Deudas comerciales</t>
  </si>
  <si>
    <t>PASIVO</t>
  </si>
  <si>
    <t xml:space="preserve">      Total Activo</t>
  </si>
  <si>
    <t xml:space="preserve">      Total Activo no corriente</t>
  </si>
  <si>
    <t>Otros activos operativos</t>
  </si>
  <si>
    <t>Bienes intangibles</t>
  </si>
  <si>
    <t>Bienes de uso</t>
  </si>
  <si>
    <t xml:space="preserve">      Total Activo corriente</t>
  </si>
  <si>
    <t>Bienes de cambio</t>
  </si>
  <si>
    <t>Créditos diversos</t>
  </si>
  <si>
    <t>Créditos por ventas</t>
  </si>
  <si>
    <t>Caja y Bancos</t>
  </si>
  <si>
    <t>ACTIVO</t>
  </si>
  <si>
    <t>miles $</t>
  </si>
  <si>
    <t>ESTADO PATRIMONIAL</t>
  </si>
  <si>
    <t xml:space="preserve">   Total neto</t>
  </si>
  <si>
    <t>Resultados financieros</t>
  </si>
  <si>
    <t xml:space="preserve">   Ganancia ordinaria</t>
  </si>
  <si>
    <t>Impuesto a las ganancias</t>
  </si>
  <si>
    <t xml:space="preserve">   Ganancia ordinaria antes de impuesto</t>
  </si>
  <si>
    <t>Resultados de tenencia bienes de cambio</t>
  </si>
  <si>
    <t>Otros ingresos y egresos</t>
  </si>
  <si>
    <t>Gastos de administración</t>
  </si>
  <si>
    <t>Gastos de comercialización</t>
  </si>
  <si>
    <t xml:space="preserve">   Ganancia bruta</t>
  </si>
  <si>
    <t>Costo de productos vendidos</t>
  </si>
  <si>
    <t>Ventas</t>
  </si>
  <si>
    <t>ESTADO DE RESULTADOS</t>
  </si>
  <si>
    <t>Total Pasivo</t>
  </si>
  <si>
    <t>Total Pasivo financiero</t>
  </si>
  <si>
    <t>Total Pasivo operativo</t>
  </si>
  <si>
    <t>Total Pasivo relacionado con activo fijo</t>
  </si>
  <si>
    <t>Pasivo corriente operativo</t>
  </si>
  <si>
    <t>Total Activo operativo</t>
  </si>
  <si>
    <t>Total fijo operativo</t>
  </si>
  <si>
    <t>Total Activo corriente operativo</t>
  </si>
  <si>
    <t>ESTADO PATRIMONIAL REORDENADO</t>
  </si>
  <si>
    <t xml:space="preserve">   Impuesto a ganancias operativo</t>
  </si>
  <si>
    <t xml:space="preserve">   Impuesto total según estado de resultados</t>
  </si>
  <si>
    <t>Ahorro impositivo por intereses de préstamos</t>
  </si>
  <si>
    <t>Tasa legal del impuesto</t>
  </si>
  <si>
    <t>DISTRIBUCION DEL IMPUESTO A LAS GANANCIAS</t>
  </si>
  <si>
    <t>Ganancia ordinaria</t>
  </si>
  <si>
    <t>Costo de pasivo financiero</t>
  </si>
  <si>
    <t>Impuesto a ganancias</t>
  </si>
  <si>
    <t>Resultados financieros préstamos</t>
  </si>
  <si>
    <t>Ganancia operativa</t>
  </si>
  <si>
    <t>Impuesto a ganancias operativo</t>
  </si>
  <si>
    <t>Ganancia operativa antes de impuesto</t>
  </si>
  <si>
    <t>Resultados financieros - Intereses proveedores</t>
  </si>
  <si>
    <t>Resultados financieros - Intereses a clientes</t>
  </si>
  <si>
    <t>Ganancia bruta</t>
  </si>
  <si>
    <t>ESTADO DE RESULTADOS REORDENADO</t>
  </si>
  <si>
    <t>Patrimonio neto</t>
  </si>
  <si>
    <t>Pasivo financiero</t>
  </si>
  <si>
    <t>Activo operativo neto</t>
  </si>
  <si>
    <t>Pasivo relacionado con activo fijo</t>
  </si>
  <si>
    <t>Activo fijo operativo</t>
  </si>
  <si>
    <t>Activo corriente operativo</t>
  </si>
  <si>
    <t>ESTADO DE SITUACION PATRIMONIAL</t>
  </si>
  <si>
    <t>RESUMEN ESTADOS REORDENADOS</t>
  </si>
  <si>
    <t>Margen operativo por caja</t>
  </si>
  <si>
    <t>por caja</t>
  </si>
  <si>
    <t>Totales</t>
  </si>
  <si>
    <t>Gastos comerciales y de administración</t>
  </si>
  <si>
    <t>Costo de productos por caja</t>
  </si>
  <si>
    <t>Precio por caja</t>
  </si>
  <si>
    <t>Ventas en cajas</t>
  </si>
  <si>
    <t>Ventas en valores</t>
  </si>
  <si>
    <t>Indices</t>
  </si>
  <si>
    <t>Ventas en unidades</t>
  </si>
  <si>
    <t>Variación  de ventas</t>
  </si>
  <si>
    <t>Variación de valores totales y unitarios</t>
  </si>
  <si>
    <t>Margen operativo</t>
  </si>
  <si>
    <t>Gastos comerciales</t>
  </si>
  <si>
    <t>Costo de productos</t>
  </si>
  <si>
    <t>Precio</t>
  </si>
  <si>
    <t>Valores por unidad de ventas</t>
  </si>
  <si>
    <t>Otros resultados operativos</t>
  </si>
  <si>
    <t>% sobre ventas netas</t>
  </si>
  <si>
    <t>Margen operativo sobre ventas</t>
  </si>
  <si>
    <t>Margen bruto sobre ventas</t>
  </si>
  <si>
    <t>MARGEN SOBRE VENTAS</t>
  </si>
  <si>
    <t>Coeficiente de activación total</t>
  </si>
  <si>
    <t>Coeficiente de activación fijo</t>
  </si>
  <si>
    <t>Coeficiente de activación corriente</t>
  </si>
  <si>
    <t>Rotación activo fijo</t>
  </si>
  <si>
    <t>Activo fijo promedio</t>
  </si>
  <si>
    <t>AFON</t>
  </si>
  <si>
    <t>Activo fijo</t>
  </si>
  <si>
    <t>Rotación ACON</t>
  </si>
  <si>
    <t>ACON promedio</t>
  </si>
  <si>
    <t>ACON</t>
  </si>
  <si>
    <t>Rotación del activo operativo neto promedio</t>
  </si>
  <si>
    <t>Activo operativo neto promedio</t>
  </si>
  <si>
    <t>Rotación del activo operativo neto final</t>
  </si>
  <si>
    <t>Pasivo operativo</t>
  </si>
  <si>
    <t>Activo operativo</t>
  </si>
  <si>
    <t>ROTACION DEL ACTIVO OPERATIVO</t>
  </si>
  <si>
    <t>Otros pasivos operativos</t>
  </si>
  <si>
    <t>Pasivo total</t>
  </si>
  <si>
    <t>ESTADO DE SITUACION PATRIMONIAL EN PORCENTAJES</t>
  </si>
  <si>
    <t>Rendimiento del patrimonio</t>
  </si>
  <si>
    <t>Efecto de endeudamiento en rendimiento</t>
  </si>
  <si>
    <t>Endeudamiento financiero</t>
  </si>
  <si>
    <t>Diferencia de rendimiento</t>
  </si>
  <si>
    <t>Costo % pasivo financiero</t>
  </si>
  <si>
    <t>Rendimiento operativo</t>
  </si>
  <si>
    <t>Costo porcentual de pasivo financiero</t>
  </si>
  <si>
    <t>Pasivo financiero promedio</t>
  </si>
  <si>
    <t>Patrimonio neto promedio</t>
  </si>
  <si>
    <t>RENDIMIENTO DEL PATRIMONIO</t>
  </si>
  <si>
    <t xml:space="preserve">  =  Margen x Rotación</t>
  </si>
  <si>
    <t xml:space="preserve">  x Rotación activo operativo neto</t>
  </si>
  <si>
    <t xml:space="preserve">  = Margen operativo sobre ventas</t>
  </si>
  <si>
    <t>Rendimiento del activo operativo neto</t>
  </si>
  <si>
    <t>RENDIMIENTO OPERATIVO</t>
  </si>
  <si>
    <t>% de gastos de comercialización</t>
  </si>
  <si>
    <t xml:space="preserve">   Gastos de producción</t>
  </si>
  <si>
    <t xml:space="preserve">   Mat primas y materiales</t>
  </si>
  <si>
    <t>% de costo de productos vendidos</t>
  </si>
  <si>
    <t>Consumo de insumos</t>
  </si>
  <si>
    <t xml:space="preserve">   Depreciaciones bienes de uso</t>
  </si>
  <si>
    <t xml:space="preserve">   Servicios y varios</t>
  </si>
  <si>
    <t xml:space="preserve">   Personal</t>
  </si>
  <si>
    <t xml:space="preserve">   Amortización intangibles</t>
  </si>
  <si>
    <t xml:space="preserve">   Descuentos concedidos</t>
  </si>
  <si>
    <t xml:space="preserve">   Impuesto Ingresos brutos</t>
  </si>
  <si>
    <t xml:space="preserve">   Publicidad y propaganda</t>
  </si>
  <si>
    <t xml:space="preserve">   Servicios, fletes y varios</t>
  </si>
  <si>
    <t xml:space="preserve">   Otros gastos</t>
  </si>
  <si>
    <t xml:space="preserve">   Repuestos y servicios</t>
  </si>
  <si>
    <t>Gastos de producción</t>
  </si>
  <si>
    <t>COMPOSICION DE COSTOS</t>
  </si>
  <si>
    <t>Costos fijos después de impuesto</t>
  </si>
  <si>
    <t>Subtotal Costos fijos</t>
  </si>
  <si>
    <t>Costos fijos</t>
  </si>
  <si>
    <t>Margen de contribución desp de impuesto</t>
  </si>
  <si>
    <t>Margen de contribución</t>
  </si>
  <si>
    <t>Resultados financieros operativos</t>
  </si>
  <si>
    <t>Costos variables</t>
  </si>
  <si>
    <t>REFORMULACION DEL RESULTADO</t>
  </si>
  <si>
    <t>Tasa efectiva de impuesto</t>
  </si>
  <si>
    <t>DISTRIBUCION DEL IMPUESTO</t>
  </si>
  <si>
    <t>CALCULO DEL MARGEN DE CONTRIBUCION</t>
  </si>
  <si>
    <t>Total costos fijos</t>
  </si>
  <si>
    <t>Administración</t>
  </si>
  <si>
    <t>Comercialización</t>
  </si>
  <si>
    <t>Producción</t>
  </si>
  <si>
    <t>Total costos variables</t>
  </si>
  <si>
    <t xml:space="preserve">   Materias primas y materiales</t>
  </si>
  <si>
    <t>COMPOSICION APROXIMADA DE COSTOS</t>
  </si>
  <si>
    <t>Aumento de rendimiento patrimonial</t>
  </si>
  <si>
    <t>EPF 2000</t>
  </si>
  <si>
    <t>Aumento de rendimiento operativo</t>
  </si>
  <si>
    <t>Margen de contribución DI</t>
  </si>
  <si>
    <t>Aumento de ganancia operativa según EPO 2000</t>
  </si>
  <si>
    <t>EPO 2000</t>
  </si>
  <si>
    <t>Aumento de ventas 2001</t>
  </si>
  <si>
    <t>VF</t>
  </si>
  <si>
    <t>Rendimiento del activo</t>
  </si>
  <si>
    <t>VENTAJA FINANCIERA</t>
  </si>
  <si>
    <t>la ganancia ordinaria disminuye</t>
  </si>
  <si>
    <t>EPT</t>
  </si>
  <si>
    <t>EFECTO PALANCA TOTAL</t>
  </si>
  <si>
    <t>EPF</t>
  </si>
  <si>
    <t>EFECTO PALANCA FINANCIERA</t>
  </si>
  <si>
    <t>la ganancia operativa disminuye</t>
  </si>
  <si>
    <t>EPO</t>
  </si>
  <si>
    <t>EFECTO PALANCA OPERATIVA</t>
  </si>
  <si>
    <t>Excedente (faltante) operativo</t>
  </si>
  <si>
    <t>Inversiones fijas operativas</t>
  </si>
  <si>
    <t>Depreciaciones y amortizaciones</t>
  </si>
  <si>
    <t>Cambio de AFON</t>
  </si>
  <si>
    <t>Generación operativa</t>
  </si>
  <si>
    <t>Cambio de ACON</t>
  </si>
  <si>
    <t>Ganancia operativa computable</t>
  </si>
  <si>
    <t>Amortización intangibles</t>
  </si>
  <si>
    <t>Depreciaciones bienes de uso</t>
  </si>
  <si>
    <t>Flujo neto con prestamistas</t>
  </si>
  <si>
    <t>Cambio del Pasivo financiero</t>
  </si>
  <si>
    <t>Costo del pasivo financiero</t>
  </si>
  <si>
    <t>Flujo de fuentes financieras</t>
  </si>
  <si>
    <t>Cambio del Activo operativo neto</t>
  </si>
  <si>
    <t>Flujo de fondos operativo</t>
  </si>
  <si>
    <t>FLUJO DE FONDOS</t>
  </si>
  <si>
    <t>Costo de productos terminados</t>
  </si>
  <si>
    <t>Compras</t>
  </si>
  <si>
    <t>Materias primas y materiales (incluye vinos a granel)</t>
  </si>
  <si>
    <t>Productos terminados</t>
  </si>
  <si>
    <t>COMPOSICION BIENES DE CAMBIO</t>
  </si>
  <si>
    <t>Duración del ciclo corto</t>
  </si>
  <si>
    <t>Total Compras a cobros</t>
  </si>
  <si>
    <t>Insumos</t>
  </si>
  <si>
    <t>DURACION DEL CICLO FINANCIERO CORTO</t>
  </si>
  <si>
    <t>Plazo promedio pasivo</t>
  </si>
  <si>
    <t>Pasivo operativo prom</t>
  </si>
  <si>
    <t>Pasivo operativo cierto</t>
  </si>
  <si>
    <t>Remunerac y cargas sociales</t>
  </si>
  <si>
    <t>Diario</t>
  </si>
  <si>
    <t>Total egresos comparables con el pasivo operativo</t>
  </si>
  <si>
    <t>IVA sobre compras y gastos</t>
  </si>
  <si>
    <t>Total de egresos operativos</t>
  </si>
  <si>
    <t>Servicios varios</t>
  </si>
  <si>
    <t>Personal</t>
  </si>
  <si>
    <t>Gastos</t>
  </si>
  <si>
    <t>PLAZO DE PASIVO OPERATIVO</t>
  </si>
  <si>
    <t>Plazo total de consumo</t>
  </si>
  <si>
    <t>Plazo de consumo de productos</t>
  </si>
  <si>
    <t>Productos terminados promedio</t>
  </si>
  <si>
    <t>Costo productos vendidos diario</t>
  </si>
  <si>
    <t>Costo productos vendidos</t>
  </si>
  <si>
    <t>Plazo de consumo de insumos</t>
  </si>
  <si>
    <t>Mat primas y mater promedio</t>
  </si>
  <si>
    <t>Materias primas y materiales</t>
  </si>
  <si>
    <t>Consumo diario</t>
  </si>
  <si>
    <t>PLAZO DE BIENES DE CAMBIO</t>
  </si>
  <si>
    <t>Exist final prod terminados</t>
  </si>
  <si>
    <t>Resultado tenencia bc</t>
  </si>
  <si>
    <t>Exist inicial prod terminados</t>
  </si>
  <si>
    <t>Existencia final insumos</t>
  </si>
  <si>
    <t>Existencia inicial insumos</t>
  </si>
  <si>
    <t>MOVIMIENTO BIENES DE CAMBIO</t>
  </si>
  <si>
    <t>Plazo de créditos por ventas</t>
  </si>
  <si>
    <t>Créditos por ventas promedio</t>
  </si>
  <si>
    <t>Ventas diarias</t>
  </si>
  <si>
    <t>Ventas más IVA</t>
  </si>
  <si>
    <t>Ventas netas</t>
  </si>
  <si>
    <t>PLAZO DE CREDITOS POR VENTAS</t>
  </si>
  <si>
    <t>CICLO FINANCIERO CORTO</t>
  </si>
  <si>
    <t>Intereses de préstamos</t>
  </si>
  <si>
    <t>Intereses de provedores</t>
  </si>
  <si>
    <t>Intereses a clientes</t>
  </si>
  <si>
    <t>Completar</t>
  </si>
  <si>
    <t>Escriba su respuesta</t>
  </si>
  <si>
    <t>¿Qué evolución han tenido los componentes del margen operativo durante el período?</t>
  </si>
  <si>
    <t>En los últimos años el margen operativo sobre ventas ha aumentado de modo significativo. ¿Este aumento puede atribuirse principalmente a cambios en el precio promedio, o a disminución de los costos por unidad?</t>
  </si>
  <si>
    <t>Al considerar el estado de situación patrimonial expresado en forma porcen-tual, ¿cuáles son los cambios que considera más significativos en la estruc-tura de activos y de financiamiento de Bodegas Esmeralda durante el período?</t>
  </si>
  <si>
    <t>¿Cuáles pueden ser los factores que influyen en el cambio del precio prome-dio de venta de cada año?</t>
  </si>
  <si>
    <t>¿El rendimiento operativo se subestima si se calcula con los saldos finales de activo y pasivo operativo?</t>
  </si>
  <si>
    <t>¿Cuál ha sido la evolución de cada componente de la rotación operativa?  La empresa manifiesta: “El nicho del negocio de vinos muy finos que se destinan principalmente a la exportación y a mercados selectos requiere un proceso productivo y de añejamiento sumamente largo, lo cual inmoviliza capital durante mucho tiempo. Por tanto, concentraremos nuestros esfuerzos en el mercado de vinos finos con procesos productivos más cortos”.  ¿Se advierte este hecho en los componentes del activo operativo de la empresa?</t>
  </si>
  <si>
    <t>¿Cómo interpreta la evolución del margen y la rotación operativa?</t>
  </si>
  <si>
    <t>¿A qué factores se atribuye la evolución del rendimiento patrimonial durante el período? ¿El endeudamiento ha tenido un efecto positivo en esta evolución del rendimiento? ¿Concluiría que la empresa debe aumentar su endeuda-miento para mejorar su rendimiento patrimonial?</t>
  </si>
  <si>
    <t>Si las ventas disminuyen</t>
  </si>
  <si>
    <t>Si la ganancia operativa disminuye</t>
  </si>
  <si>
    <t>¿Qué consecuencias tienen los cambios de los indicadores del efecto palanca durante el período?</t>
  </si>
  <si>
    <t>¿En qué condiciones el impacto en el rendimiento operativo será de la magnitud calculada?</t>
  </si>
  <si>
    <t>Calcule en la hoja siguiente el impacto de un aumento de las ventas de 8% en el ejercicio 2001 en el rendimiento operativo y el rendimiento patrimonial.</t>
  </si>
  <si>
    <t>¿En qué condiciones el impacto en el rendimiento patrimonial será de la magnitud calculada?</t>
  </si>
  <si>
    <t>IMPACTO DE UN AUMENTO DE 8% DE LAS VENTAS</t>
  </si>
  <si>
    <t>Aumento de ganancia operativa 2001 según EPO 2000</t>
  </si>
  <si>
    <t>Aumento de ganancia ordinaria según EPF 2000</t>
  </si>
  <si>
    <t>Se observa que existe faltante operativo de fondos ¿cómo se interpreta la evolución de la generación operativa y las inversiones fijas?</t>
  </si>
  <si>
    <t>El faltante operativo implica que el flujo de fuentes financieras es positivo. ¿Cómo se relaciona esto con la evolución del coeficiente de endeudamiento durante el período?</t>
  </si>
  <si>
    <t>Compras de materias primas y materiales</t>
  </si>
  <si>
    <t>¿Por qué los plazos en esta situación deben calcularse con saldos promedio?</t>
  </si>
  <si>
    <t>El plazo de consumo de insumos tiene un persistente e importante crecimien-to: ¿qué relación tiene con la política de productos de la empresa y cuál es el impacto en ACON?</t>
  </si>
  <si>
    <t>PARTE A</t>
  </si>
  <si>
    <t>PARTE B</t>
  </si>
  <si>
    <t>PARTE C</t>
  </si>
  <si>
    <t>PARTE D</t>
  </si>
  <si>
    <t>PARTE E</t>
  </si>
  <si>
    <t>Planilla de apoyo para la solución del</t>
  </si>
  <si>
    <t>EJERCICIO DE APLICACIÓN</t>
  </si>
  <si>
    <t>2. Bodegas Esmeralda I</t>
  </si>
  <si>
    <t>Datos para solución en las hojas siguientes</t>
  </si>
  <si>
    <t>Resultado no recurrente</t>
  </si>
  <si>
    <t>Ganancia del ejercicio</t>
  </si>
  <si>
    <t>Rendimiento no recurrente</t>
  </si>
  <si>
    <t>Rendimiento patrimonial del ejercicio</t>
  </si>
  <si>
    <t>Rendimiento ordinario del patrimonio</t>
  </si>
  <si>
    <t>CAPITAL DE TRABAJO</t>
  </si>
  <si>
    <t>Activo corriente</t>
  </si>
  <si>
    <t>Pasivo corriente</t>
  </si>
  <si>
    <t>Capital corriente / Ventas</t>
  </si>
  <si>
    <t>Activo corriente estrictamente operativo</t>
  </si>
  <si>
    <t>Deudas Comerciales</t>
  </si>
  <si>
    <t>Pasivo corriente estrictamente operativo</t>
  </si>
  <si>
    <t>Capital de trabajo operativo</t>
  </si>
  <si>
    <t>CTO / Ventas</t>
  </si>
  <si>
    <t>Caja y bancos</t>
  </si>
  <si>
    <t>Activo corriente "financiero"</t>
  </si>
  <si>
    <t>Préstamos</t>
  </si>
  <si>
    <t>Otros pasivos</t>
  </si>
  <si>
    <t>Pasivo corriente financiero</t>
  </si>
  <si>
    <t>Fondo circulante financiero</t>
  </si>
  <si>
    <t>Capital corriente o Capital de trabajo</t>
  </si>
  <si>
    <t>Remuneraciones y Cargas Sociales</t>
  </si>
  <si>
    <t>Los datos tienen una protección simple para prevenir el borrado accidental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</si>
</sst>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s>
  <fonts count="14">
    <font>
      <sz val="10"/>
      <name val="Arial"/>
      <family val="0"/>
    </font>
    <font>
      <b/>
      <sz val="10"/>
      <name val="Arial"/>
      <family val="2"/>
    </font>
    <font>
      <b/>
      <i/>
      <sz val="10"/>
      <name val="Arial"/>
      <family val="2"/>
    </font>
    <font>
      <b/>
      <sz val="8"/>
      <name val="Arial"/>
      <family val="2"/>
    </font>
    <font>
      <sz val="8"/>
      <name val="Arial"/>
      <family val="2"/>
    </font>
    <font>
      <b/>
      <sz val="14"/>
      <color indexed="53"/>
      <name val="Bookman Old Style"/>
      <family val="1"/>
    </font>
    <font>
      <b/>
      <sz val="12"/>
      <color indexed="53"/>
      <name val="Bookman Old Style"/>
      <family val="1"/>
    </font>
    <font>
      <b/>
      <sz val="12"/>
      <color indexed="12"/>
      <name val="Bookman Old Style"/>
      <family val="1"/>
    </font>
    <font>
      <b/>
      <sz val="12"/>
      <name val="Bookman Old Style"/>
      <family val="1"/>
    </font>
    <font>
      <b/>
      <i/>
      <sz val="10"/>
      <color indexed="12"/>
      <name val="Arial"/>
      <family val="2"/>
    </font>
    <font>
      <i/>
      <sz val="10"/>
      <name val="Arial"/>
      <family val="2"/>
    </font>
    <font>
      <b/>
      <sz val="9"/>
      <name val="Arial"/>
      <family val="2"/>
    </font>
    <font>
      <b/>
      <sz val="9"/>
      <color indexed="10"/>
      <name val="Arial"/>
      <family val="2"/>
    </font>
    <font>
      <b/>
      <sz val="10"/>
      <color indexed="12"/>
      <name val="Arial"/>
      <family val="2"/>
    </font>
  </fonts>
  <fills count="2">
    <fill>
      <patternFill/>
    </fill>
    <fill>
      <patternFill patternType="gray125"/>
    </fill>
  </fills>
  <borders count="10">
    <border>
      <left/>
      <right/>
      <top/>
      <bottom/>
      <diagonal/>
    </border>
    <border>
      <left style="medium"/>
      <right style="medium"/>
      <top style="medium"/>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9" fillId="0" borderId="0" xfId="0" applyFont="1" applyAlignment="1">
      <alignment horizontal="right"/>
    </xf>
    <xf numFmtId="0" fontId="11" fillId="0" borderId="0" xfId="0" applyFont="1" applyAlignment="1">
      <alignment/>
    </xf>
    <xf numFmtId="0" fontId="10" fillId="0" borderId="0" xfId="0" applyFont="1" applyBorder="1" applyAlignment="1">
      <alignment vertical="top" wrapText="1"/>
    </xf>
    <xf numFmtId="0" fontId="11" fillId="0" borderId="0" xfId="0" applyFont="1" applyAlignment="1">
      <alignment horizontal="center" vertical="top" wrapText="1"/>
    </xf>
    <xf numFmtId="0" fontId="0" fillId="0" borderId="1" xfId="0" applyBorder="1" applyAlignment="1" applyProtection="1">
      <alignment vertical="top" wrapText="1"/>
      <protection locked="0"/>
    </xf>
    <xf numFmtId="0" fontId="0" fillId="0" borderId="0" xfId="0" applyBorder="1" applyAlignment="1">
      <alignment wrapText="1"/>
    </xf>
    <xf numFmtId="0" fontId="0" fillId="0" borderId="0" xfId="0" applyAlignment="1" applyProtection="1">
      <alignment/>
      <protection locked="0"/>
    </xf>
    <xf numFmtId="0" fontId="0" fillId="0" borderId="0" xfId="0" applyFont="1" applyAlignment="1" applyProtection="1">
      <alignment/>
      <protection locked="0"/>
    </xf>
    <xf numFmtId="0" fontId="1" fillId="0" borderId="2" xfId="0" applyFont="1" applyBorder="1" applyAlignment="1" applyProtection="1">
      <alignment horizontal="center"/>
      <protection locked="0"/>
    </xf>
    <xf numFmtId="0" fontId="0" fillId="0" borderId="3" xfId="0" applyFont="1" applyBorder="1" applyAlignment="1" applyProtection="1">
      <alignment/>
      <protection locked="0"/>
    </xf>
    <xf numFmtId="164" fontId="0" fillId="0" borderId="3" xfId="15" applyNumberFormat="1" applyFont="1" applyBorder="1" applyAlignment="1" applyProtection="1">
      <alignment/>
      <protection locked="0"/>
    </xf>
    <xf numFmtId="164" fontId="0" fillId="0" borderId="4" xfId="15" applyNumberFormat="1" applyFont="1" applyBorder="1" applyAlignment="1" applyProtection="1">
      <alignment/>
      <protection locked="0"/>
    </xf>
    <xf numFmtId="164" fontId="10" fillId="0" borderId="3" xfId="15" applyNumberFormat="1" applyFont="1" applyBorder="1" applyAlignment="1" applyProtection="1">
      <alignment/>
      <protection locked="0"/>
    </xf>
    <xf numFmtId="164" fontId="10" fillId="0" borderId="4" xfId="15" applyNumberFormat="1" applyFont="1" applyBorder="1" applyAlignment="1" applyProtection="1">
      <alignment/>
      <protection locked="0"/>
    </xf>
    <xf numFmtId="164" fontId="0" fillId="0" borderId="0" xfId="0" applyNumberFormat="1" applyFont="1" applyAlignment="1" applyProtection="1">
      <alignment/>
      <protection locked="0"/>
    </xf>
    <xf numFmtId="0" fontId="12" fillId="0" borderId="0" xfId="0" applyFont="1" applyAlignment="1" applyProtection="1">
      <alignment/>
      <protection locked="0"/>
    </xf>
    <xf numFmtId="164" fontId="0" fillId="0" borderId="3" xfId="0" applyNumberFormat="1" applyFont="1" applyBorder="1" applyAlignment="1" applyProtection="1">
      <alignment horizontal="center"/>
      <protection locked="0"/>
    </xf>
    <xf numFmtId="9" fontId="0" fillId="0" borderId="3" xfId="19" applyFont="1" applyBorder="1" applyAlignment="1" applyProtection="1">
      <alignment/>
      <protection locked="0"/>
    </xf>
    <xf numFmtId="9" fontId="0" fillId="0" borderId="3" xfId="0" applyNumberFormat="1" applyFont="1" applyBorder="1" applyAlignment="1" applyProtection="1">
      <alignment/>
      <protection locked="0"/>
    </xf>
    <xf numFmtId="164" fontId="0" fillId="0" borderId="3" xfId="0" applyNumberFormat="1" applyFont="1" applyBorder="1" applyAlignment="1" applyProtection="1">
      <alignment/>
      <protection locked="0"/>
    </xf>
    <xf numFmtId="164" fontId="0" fillId="0" borderId="4" xfId="0" applyNumberFormat="1" applyFont="1" applyBorder="1" applyAlignment="1" applyProtection="1">
      <alignment/>
      <protection locked="0"/>
    </xf>
    <xf numFmtId="165" fontId="0" fillId="0" borderId="3" xfId="19" applyNumberFormat="1" applyFont="1" applyBorder="1" applyAlignment="1" applyProtection="1">
      <alignment/>
      <protection locked="0"/>
    </xf>
    <xf numFmtId="165" fontId="0" fillId="0" borderId="4" xfId="19" applyNumberFormat="1" applyFont="1" applyBorder="1" applyAlignment="1" applyProtection="1">
      <alignment/>
      <protection locked="0"/>
    </xf>
    <xf numFmtId="165" fontId="0" fillId="0" borderId="2" xfId="19" applyNumberFormat="1" applyFont="1" applyBorder="1" applyAlignment="1" applyProtection="1">
      <alignment/>
      <protection locked="0"/>
    </xf>
    <xf numFmtId="165" fontId="0" fillId="0" borderId="5" xfId="19" applyNumberFormat="1" applyFont="1" applyBorder="1" applyAlignment="1" applyProtection="1">
      <alignment/>
      <protection locked="0"/>
    </xf>
    <xf numFmtId="0" fontId="0" fillId="0" borderId="0" xfId="0" applyFont="1" applyBorder="1" applyAlignment="1" applyProtection="1">
      <alignment/>
      <protection locked="0"/>
    </xf>
    <xf numFmtId="165" fontId="0" fillId="0" borderId="0" xfId="19" applyNumberFormat="1" applyFont="1" applyBorder="1" applyAlignment="1" applyProtection="1">
      <alignment/>
      <protection locked="0"/>
    </xf>
    <xf numFmtId="166" fontId="0" fillId="0" borderId="3" xfId="15" applyNumberFormat="1" applyFont="1" applyBorder="1" applyAlignment="1" applyProtection="1">
      <alignment/>
      <protection locked="0"/>
    </xf>
    <xf numFmtId="166" fontId="0" fillId="0" borderId="4" xfId="15" applyNumberFormat="1" applyFont="1" applyBorder="1" applyAlignment="1" applyProtection="1">
      <alignment/>
      <protection locked="0"/>
    </xf>
    <xf numFmtId="43" fontId="0" fillId="0" borderId="3" xfId="15" applyFont="1" applyBorder="1" applyAlignment="1" applyProtection="1">
      <alignment/>
      <protection locked="0"/>
    </xf>
    <xf numFmtId="43" fontId="0" fillId="0" borderId="4" xfId="15" applyFont="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protection/>
    </xf>
    <xf numFmtId="0" fontId="10" fillId="0" borderId="0" xfId="0" applyFont="1" applyBorder="1" applyAlignment="1" applyProtection="1">
      <alignment vertical="top" wrapText="1"/>
      <protection/>
    </xf>
    <xf numFmtId="0" fontId="11" fillId="0" borderId="0" xfId="0" applyFont="1" applyAlignment="1" applyProtection="1">
      <alignment horizontal="center" vertical="top" wrapText="1"/>
      <protection/>
    </xf>
    <xf numFmtId="0" fontId="11" fillId="0" borderId="0" xfId="0" applyFont="1" applyAlignment="1" applyProtection="1">
      <alignment/>
      <protection/>
    </xf>
    <xf numFmtId="0" fontId="0" fillId="0" borderId="0" xfId="0" applyBorder="1" applyAlignment="1" applyProtection="1">
      <alignment wrapText="1"/>
      <protection/>
    </xf>
    <xf numFmtId="43" fontId="0" fillId="0" borderId="2" xfId="15" applyNumberFormat="1" applyFont="1" applyBorder="1" applyAlignment="1" applyProtection="1">
      <alignment/>
      <protection locked="0"/>
    </xf>
    <xf numFmtId="43" fontId="0" fillId="0" borderId="2" xfId="0" applyNumberFormat="1" applyFont="1" applyBorder="1" applyAlignment="1" applyProtection="1">
      <alignment/>
      <protection locked="0"/>
    </xf>
    <xf numFmtId="166" fontId="0" fillId="0" borderId="0" xfId="0" applyNumberFormat="1" applyFont="1" applyBorder="1" applyAlignment="1" applyProtection="1">
      <alignment/>
      <protection locked="0"/>
    </xf>
    <xf numFmtId="43" fontId="0" fillId="0" borderId="2" xfId="15" applyFont="1" applyBorder="1" applyAlignment="1" applyProtection="1">
      <alignment/>
      <protection locked="0"/>
    </xf>
    <xf numFmtId="43" fontId="0" fillId="0" borderId="3" xfId="0" applyNumberFormat="1" applyFont="1" applyBorder="1" applyAlignment="1" applyProtection="1">
      <alignment/>
      <protection locked="0"/>
    </xf>
    <xf numFmtId="43" fontId="0" fillId="0" borderId="4" xfId="0" applyNumberFormat="1" applyFont="1" applyBorder="1" applyAlignment="1" applyProtection="1">
      <alignment/>
      <protection locked="0"/>
    </xf>
    <xf numFmtId="43" fontId="0" fillId="0" borderId="4" xfId="15" applyNumberFormat="1" applyFont="1" applyBorder="1" applyAlignment="1" applyProtection="1">
      <alignment/>
      <protection locked="0"/>
    </xf>
    <xf numFmtId="165" fontId="0" fillId="0" borderId="6" xfId="19" applyNumberFormat="1" applyFont="1" applyBorder="1" applyAlignment="1" applyProtection="1">
      <alignment/>
      <protection locked="0"/>
    </xf>
    <xf numFmtId="165" fontId="0" fillId="0" borderId="0" xfId="19" applyNumberFormat="1" applyFont="1" applyAlignment="1" applyProtection="1">
      <alignment/>
      <protection locked="0"/>
    </xf>
    <xf numFmtId="165" fontId="0" fillId="0" borderId="2" xfId="0" applyNumberFormat="1" applyFont="1" applyBorder="1" applyAlignment="1" applyProtection="1">
      <alignment/>
      <protection locked="0"/>
    </xf>
    <xf numFmtId="165" fontId="0" fillId="0" borderId="3" xfId="0" applyNumberFormat="1" applyFont="1" applyBorder="1" applyAlignment="1" applyProtection="1">
      <alignment/>
      <protection locked="0"/>
    </xf>
    <xf numFmtId="164" fontId="0" fillId="0" borderId="0" xfId="15" applyNumberFormat="1" applyFont="1" applyBorder="1" applyAlignment="1" applyProtection="1">
      <alignment/>
      <protection locked="0"/>
    </xf>
    <xf numFmtId="9" fontId="0" fillId="0" borderId="4" xfId="19" applyFont="1" applyBorder="1" applyAlignment="1" applyProtection="1">
      <alignment/>
      <protection locked="0"/>
    </xf>
    <xf numFmtId="9" fontId="0" fillId="0" borderId="3" xfId="19" applyNumberFormat="1" applyFont="1" applyBorder="1" applyAlignment="1" applyProtection="1">
      <alignment/>
      <protection locked="0"/>
    </xf>
    <xf numFmtId="9" fontId="0" fillId="0" borderId="4" xfId="19" applyNumberFormat="1" applyFont="1" applyBorder="1" applyAlignment="1" applyProtection="1">
      <alignment/>
      <protection locked="0"/>
    </xf>
    <xf numFmtId="9" fontId="0" fillId="0" borderId="2" xfId="19" applyFont="1" applyBorder="1" applyAlignment="1" applyProtection="1">
      <alignment/>
      <protection locked="0"/>
    </xf>
    <xf numFmtId="0" fontId="0" fillId="0" borderId="2" xfId="0" applyBorder="1" applyAlignment="1" applyProtection="1">
      <alignment/>
      <protection locked="0"/>
    </xf>
    <xf numFmtId="164" fontId="0" fillId="0" borderId="5" xfId="15" applyNumberFormat="1" applyFont="1" applyBorder="1" applyAlignment="1" applyProtection="1">
      <alignment/>
      <protection locked="0"/>
    </xf>
    <xf numFmtId="164" fontId="10" fillId="0" borderId="2" xfId="15" applyNumberFormat="1" applyFont="1" applyBorder="1" applyAlignment="1" applyProtection="1">
      <alignment/>
      <protection locked="0"/>
    </xf>
    <xf numFmtId="164" fontId="10" fillId="0" borderId="2" xfId="0" applyNumberFormat="1" applyFont="1" applyBorder="1" applyAlignment="1" applyProtection="1">
      <alignment/>
      <protection locked="0"/>
    </xf>
    <xf numFmtId="164" fontId="10" fillId="0" borderId="4" xfId="0" applyNumberFormat="1" applyFont="1" applyBorder="1" applyAlignment="1" applyProtection="1">
      <alignment/>
      <protection locked="0"/>
    </xf>
    <xf numFmtId="0" fontId="1" fillId="0" borderId="0" xfId="0" applyFont="1" applyAlignment="1" applyProtection="1">
      <alignment/>
      <protection/>
    </xf>
    <xf numFmtId="0" fontId="0" fillId="0" borderId="0" xfId="0" applyFont="1" applyAlignment="1" applyProtection="1">
      <alignment/>
      <protection/>
    </xf>
    <xf numFmtId="0" fontId="0" fillId="0" borderId="2" xfId="0" applyFont="1" applyBorder="1" applyAlignment="1" applyProtection="1">
      <alignment/>
      <protection/>
    </xf>
    <xf numFmtId="0" fontId="1" fillId="0" borderId="2" xfId="0" applyFont="1" applyBorder="1" applyAlignment="1" applyProtection="1">
      <alignment horizontal="center"/>
      <protection/>
    </xf>
    <xf numFmtId="0" fontId="0" fillId="0" borderId="3" xfId="0" applyFont="1" applyBorder="1" applyAlignment="1" applyProtection="1">
      <alignment/>
      <protection/>
    </xf>
    <xf numFmtId="164" fontId="0" fillId="0" borderId="3" xfId="15" applyNumberFormat="1" applyFont="1" applyBorder="1" applyAlignment="1" applyProtection="1">
      <alignment/>
      <protection/>
    </xf>
    <xf numFmtId="164" fontId="0" fillId="0" borderId="7" xfId="15" applyNumberFormat="1" applyFont="1" applyBorder="1" applyAlignment="1" applyProtection="1">
      <alignment/>
      <protection/>
    </xf>
    <xf numFmtId="0" fontId="0" fillId="0" borderId="4" xfId="0" applyFont="1" applyBorder="1" applyAlignment="1" applyProtection="1">
      <alignment/>
      <protection/>
    </xf>
    <xf numFmtId="164" fontId="0" fillId="0" borderId="4" xfId="15" applyNumberFormat="1" applyFont="1" applyBorder="1" applyAlignment="1" applyProtection="1">
      <alignment/>
      <protection/>
    </xf>
    <xf numFmtId="0" fontId="1" fillId="0" borderId="0" xfId="0" applyFont="1" applyBorder="1" applyAlignment="1" applyProtection="1">
      <alignment/>
      <protection/>
    </xf>
    <xf numFmtId="0" fontId="2" fillId="0" borderId="5" xfId="0" applyFont="1" applyBorder="1" applyAlignment="1" applyProtection="1">
      <alignment horizontal="center"/>
      <protection/>
    </xf>
    <xf numFmtId="0" fontId="1" fillId="0" borderId="2" xfId="15" applyNumberFormat="1" applyFont="1" applyBorder="1" applyAlignment="1" applyProtection="1">
      <alignment horizontal="center"/>
      <protection/>
    </xf>
    <xf numFmtId="0" fontId="10" fillId="0" borderId="3" xfId="0" applyFont="1" applyBorder="1" applyAlignment="1" applyProtection="1">
      <alignment/>
      <protection/>
    </xf>
    <xf numFmtId="164" fontId="10" fillId="0" borderId="3" xfId="15" applyNumberFormat="1" applyFont="1" applyBorder="1" applyAlignment="1" applyProtection="1">
      <alignment/>
      <protection/>
    </xf>
    <xf numFmtId="164" fontId="10" fillId="0" borderId="4" xfId="15" applyNumberFormat="1" applyFont="1" applyBorder="1" applyAlignment="1" applyProtection="1">
      <alignment/>
      <protection/>
    </xf>
    <xf numFmtId="0" fontId="2" fillId="0" borderId="3" xfId="0" applyFont="1" applyBorder="1" applyAlignment="1" applyProtection="1">
      <alignment/>
      <protection/>
    </xf>
    <xf numFmtId="164" fontId="2" fillId="0" borderId="2" xfId="15" applyNumberFormat="1" applyFont="1" applyBorder="1" applyAlignment="1" applyProtection="1">
      <alignment/>
      <protection/>
    </xf>
    <xf numFmtId="0" fontId="2" fillId="0" borderId="3" xfId="0" applyFont="1" applyBorder="1" applyAlignment="1" applyProtection="1">
      <alignment horizontal="center"/>
      <protection/>
    </xf>
    <xf numFmtId="0" fontId="2" fillId="0" borderId="4" xfId="0" applyFont="1" applyBorder="1" applyAlignment="1" applyProtection="1">
      <alignment/>
      <protection/>
    </xf>
    <xf numFmtId="164" fontId="2" fillId="0" borderId="4" xfId="15" applyNumberFormat="1" applyFont="1" applyBorder="1" applyAlignment="1" applyProtection="1">
      <alignment/>
      <protection/>
    </xf>
    <xf numFmtId="164" fontId="0" fillId="0" borderId="0" xfId="0" applyNumberFormat="1" applyFont="1" applyAlignment="1" applyProtection="1">
      <alignment/>
      <protection/>
    </xf>
    <xf numFmtId="0" fontId="0" fillId="0" borderId="5" xfId="0" applyFont="1" applyBorder="1" applyAlignment="1" applyProtection="1">
      <alignment/>
      <protection/>
    </xf>
    <xf numFmtId="164" fontId="2" fillId="0" borderId="3" xfId="15" applyNumberFormat="1" applyFont="1" applyBorder="1" applyAlignment="1" applyProtection="1">
      <alignment/>
      <protection/>
    </xf>
    <xf numFmtId="0" fontId="2" fillId="0" borderId="0" xfId="0" applyFont="1" applyBorder="1" applyAlignment="1" applyProtection="1">
      <alignment/>
      <protection/>
    </xf>
    <xf numFmtId="164" fontId="2" fillId="0" borderId="0" xfId="15" applyNumberFormat="1" applyFont="1" applyBorder="1" applyAlignment="1" applyProtection="1">
      <alignment/>
      <protection/>
    </xf>
    <xf numFmtId="0" fontId="2" fillId="0" borderId="5" xfId="0" applyFont="1" applyBorder="1" applyAlignment="1" applyProtection="1">
      <alignment/>
      <protection/>
    </xf>
    <xf numFmtId="0" fontId="10" fillId="0" borderId="4" xfId="0" applyFont="1" applyBorder="1" applyAlignment="1" applyProtection="1">
      <alignment/>
      <protection/>
    </xf>
    <xf numFmtId="164" fontId="0" fillId="0" borderId="3" xfId="0" applyNumberFormat="1" applyFont="1" applyBorder="1" applyAlignment="1" applyProtection="1">
      <alignment horizontal="center"/>
      <protection/>
    </xf>
    <xf numFmtId="0" fontId="10" fillId="0" borderId="0" xfId="0" applyFont="1" applyAlignment="1" applyProtection="1">
      <alignment/>
      <protection/>
    </xf>
    <xf numFmtId="0" fontId="1" fillId="0" borderId="8" xfId="0" applyFont="1" applyBorder="1" applyAlignment="1" applyProtection="1">
      <alignment/>
      <protection/>
    </xf>
    <xf numFmtId="0" fontId="10" fillId="0" borderId="5" xfId="0" applyFont="1" applyBorder="1" applyAlignment="1" applyProtection="1">
      <alignment/>
      <protection/>
    </xf>
    <xf numFmtId="9" fontId="0" fillId="0" borderId="3" xfId="19" applyFont="1" applyBorder="1" applyAlignment="1" applyProtection="1">
      <alignment/>
      <protection/>
    </xf>
    <xf numFmtId="164" fontId="0" fillId="0" borderId="3" xfId="0" applyNumberFormat="1" applyFont="1" applyBorder="1" applyAlignment="1" applyProtection="1">
      <alignment/>
      <protection/>
    </xf>
    <xf numFmtId="164" fontId="0" fillId="0" borderId="4" xfId="0" applyNumberFormat="1" applyFont="1" applyBorder="1" applyAlignment="1" applyProtection="1">
      <alignment/>
      <protection/>
    </xf>
    <xf numFmtId="164" fontId="0" fillId="0" borderId="5" xfId="0" applyNumberFormat="1" applyFont="1" applyBorder="1" applyAlignment="1" applyProtection="1">
      <alignment/>
      <protection/>
    </xf>
    <xf numFmtId="165" fontId="0" fillId="0" borderId="3" xfId="19" applyNumberFormat="1" applyFont="1" applyBorder="1" applyAlignment="1" applyProtection="1">
      <alignment/>
      <protection/>
    </xf>
    <xf numFmtId="165" fontId="0" fillId="0" borderId="4" xfId="19" applyNumberFormat="1" applyFont="1" applyBorder="1" applyAlignment="1" applyProtection="1">
      <alignment/>
      <protection/>
    </xf>
    <xf numFmtId="165" fontId="0" fillId="0" borderId="2" xfId="19" applyNumberFormat="1" applyFont="1" applyBorder="1" applyAlignment="1" applyProtection="1">
      <alignment/>
      <protection/>
    </xf>
    <xf numFmtId="0" fontId="10" fillId="0" borderId="2" xfId="0" applyFont="1" applyBorder="1" applyAlignment="1" applyProtection="1">
      <alignment/>
      <protection/>
    </xf>
    <xf numFmtId="165" fontId="0" fillId="0" borderId="5" xfId="19" applyNumberFormat="1" applyFont="1" applyBorder="1" applyAlignment="1" applyProtection="1">
      <alignment/>
      <protection/>
    </xf>
    <xf numFmtId="0" fontId="0" fillId="0" borderId="0" xfId="0" applyFont="1" applyBorder="1" applyAlignment="1" applyProtection="1">
      <alignment/>
      <protection/>
    </xf>
    <xf numFmtId="165" fontId="0" fillId="0" borderId="0" xfId="19" applyNumberFormat="1" applyFont="1" applyBorder="1" applyAlignment="1" applyProtection="1">
      <alignment/>
      <protection/>
    </xf>
    <xf numFmtId="166" fontId="0" fillId="0" borderId="3" xfId="15" applyNumberFormat="1" applyFont="1" applyBorder="1" applyAlignment="1" applyProtection="1">
      <alignment/>
      <protection/>
    </xf>
    <xf numFmtId="166" fontId="0" fillId="0" borderId="4" xfId="15" applyNumberFormat="1" applyFont="1" applyBorder="1" applyAlignment="1" applyProtection="1">
      <alignment/>
      <protection/>
    </xf>
    <xf numFmtId="166" fontId="0" fillId="0" borderId="0" xfId="15" applyNumberFormat="1" applyFont="1" applyBorder="1" applyAlignment="1" applyProtection="1">
      <alignment/>
      <protection/>
    </xf>
    <xf numFmtId="43" fontId="0" fillId="0" borderId="3" xfId="15" applyFont="1" applyBorder="1" applyAlignment="1" applyProtection="1">
      <alignment/>
      <protection/>
    </xf>
    <xf numFmtId="43" fontId="0" fillId="0" borderId="4" xfId="15" applyFont="1" applyBorder="1" applyAlignment="1" applyProtection="1">
      <alignment/>
      <protection/>
    </xf>
    <xf numFmtId="0" fontId="1" fillId="0" borderId="5" xfId="0" applyFont="1" applyBorder="1" applyAlignment="1" applyProtection="1">
      <alignment/>
      <protection/>
    </xf>
    <xf numFmtId="43" fontId="0" fillId="0" borderId="2" xfId="15" applyNumberFormat="1" applyFont="1" applyBorder="1" applyAlignment="1" applyProtection="1">
      <alignment/>
      <protection/>
    </xf>
    <xf numFmtId="166" fontId="0" fillId="0" borderId="2" xfId="0" applyNumberFormat="1" applyFont="1" applyBorder="1" applyAlignment="1" applyProtection="1">
      <alignment/>
      <protection/>
    </xf>
    <xf numFmtId="43" fontId="0" fillId="0" borderId="2" xfId="0" applyNumberFormat="1" applyFont="1" applyBorder="1" applyAlignment="1" applyProtection="1">
      <alignment/>
      <protection/>
    </xf>
    <xf numFmtId="166" fontId="0" fillId="0" borderId="0" xfId="0" applyNumberFormat="1" applyFont="1" applyBorder="1" applyAlignment="1" applyProtection="1">
      <alignment/>
      <protection/>
    </xf>
    <xf numFmtId="43" fontId="0" fillId="0" borderId="2" xfId="15" applyFont="1" applyBorder="1" applyAlignment="1" applyProtection="1">
      <alignment/>
      <protection/>
    </xf>
    <xf numFmtId="43" fontId="0" fillId="0" borderId="3" xfId="0" applyNumberFormat="1" applyFont="1" applyBorder="1" applyAlignment="1" applyProtection="1">
      <alignment/>
      <protection/>
    </xf>
    <xf numFmtId="43" fontId="0" fillId="0" borderId="4" xfId="0" applyNumberFormat="1" applyFont="1" applyBorder="1" applyAlignment="1" applyProtection="1">
      <alignment/>
      <protection/>
    </xf>
    <xf numFmtId="43" fontId="0" fillId="0" borderId="4" xfId="15" applyNumberFormat="1" applyFont="1" applyBorder="1" applyAlignment="1" applyProtection="1">
      <alignment/>
      <protection/>
    </xf>
    <xf numFmtId="0" fontId="0" fillId="0" borderId="9" xfId="0" applyFont="1" applyBorder="1" applyAlignment="1" applyProtection="1">
      <alignment/>
      <protection/>
    </xf>
    <xf numFmtId="165" fontId="0" fillId="0" borderId="8" xfId="19" applyNumberFormat="1" applyFont="1" applyBorder="1" applyAlignment="1" applyProtection="1">
      <alignment/>
      <protection/>
    </xf>
    <xf numFmtId="165" fontId="0" fillId="0" borderId="6" xfId="19" applyNumberFormat="1" applyFont="1" applyBorder="1" applyAlignment="1" applyProtection="1">
      <alignment/>
      <protection/>
    </xf>
    <xf numFmtId="165" fontId="0" fillId="0" borderId="0" xfId="19" applyNumberFormat="1" applyFont="1" applyAlignment="1" applyProtection="1">
      <alignment/>
      <protection/>
    </xf>
    <xf numFmtId="165" fontId="0" fillId="0" borderId="2" xfId="0" applyNumberFormat="1" applyFont="1" applyBorder="1" applyAlignment="1" applyProtection="1">
      <alignment/>
      <protection/>
    </xf>
    <xf numFmtId="165" fontId="0" fillId="0" borderId="3" xfId="0" applyNumberFormat="1" applyFont="1" applyBorder="1" applyAlignment="1" applyProtection="1">
      <alignment/>
      <protection/>
    </xf>
    <xf numFmtId="0" fontId="2" fillId="0" borderId="2" xfId="0" applyFont="1" applyBorder="1" applyAlignment="1" applyProtection="1">
      <alignment horizontal="center"/>
      <protection/>
    </xf>
    <xf numFmtId="43" fontId="0" fillId="0" borderId="0" xfId="0" applyNumberFormat="1" applyFont="1" applyAlignment="1" applyProtection="1">
      <alignment/>
      <protection/>
    </xf>
    <xf numFmtId="9" fontId="0" fillId="0" borderId="4" xfId="19" applyFont="1" applyBorder="1" applyAlignment="1" applyProtection="1">
      <alignment/>
      <protection/>
    </xf>
    <xf numFmtId="0" fontId="12" fillId="0" borderId="0" xfId="0" applyFont="1" applyAlignment="1" applyProtection="1">
      <alignment/>
      <protection/>
    </xf>
    <xf numFmtId="0" fontId="1" fillId="0" borderId="3" xfId="0" applyFont="1" applyBorder="1" applyAlignment="1" applyProtection="1">
      <alignment/>
      <protection/>
    </xf>
    <xf numFmtId="0" fontId="10" fillId="0" borderId="3" xfId="0" applyFont="1" applyBorder="1" applyAlignment="1" applyProtection="1">
      <alignment horizontal="right"/>
      <protection/>
    </xf>
    <xf numFmtId="0" fontId="10" fillId="0" borderId="4" xfId="0" applyFont="1" applyBorder="1" applyAlignment="1" applyProtection="1">
      <alignment horizontal="right"/>
      <protection/>
    </xf>
    <xf numFmtId="9" fontId="0" fillId="0" borderId="3" xfId="19" applyNumberFormat="1" applyFont="1" applyBorder="1" applyAlignment="1" applyProtection="1">
      <alignment/>
      <protection/>
    </xf>
    <xf numFmtId="9" fontId="0" fillId="0" borderId="4" xfId="19" applyNumberFormat="1" applyFont="1" applyBorder="1" applyAlignment="1" applyProtection="1">
      <alignment/>
      <protection/>
    </xf>
    <xf numFmtId="0" fontId="1" fillId="0" borderId="5" xfId="0" applyFont="1" applyBorder="1" applyAlignment="1" applyProtection="1">
      <alignment horizontal="center"/>
      <protection/>
    </xf>
    <xf numFmtId="164" fontId="0" fillId="0" borderId="0" xfId="15" applyNumberFormat="1" applyFont="1" applyBorder="1" applyAlignment="1" applyProtection="1">
      <alignment/>
      <protection/>
    </xf>
    <xf numFmtId="164" fontId="0" fillId="0" borderId="5" xfId="15" applyNumberFormat="1" applyFont="1" applyBorder="1" applyAlignment="1" applyProtection="1">
      <alignment/>
      <protection/>
    </xf>
    <xf numFmtId="164" fontId="10" fillId="0" borderId="2" xfId="15" applyNumberFormat="1" applyFont="1" applyBorder="1" applyAlignment="1" applyProtection="1">
      <alignment/>
      <protection/>
    </xf>
    <xf numFmtId="164" fontId="10" fillId="0" borderId="2" xfId="0" applyNumberFormat="1" applyFont="1" applyBorder="1" applyAlignment="1" applyProtection="1">
      <alignment/>
      <protection/>
    </xf>
    <xf numFmtId="164" fontId="10" fillId="0" borderId="4" xfId="0" applyNumberFormat="1" applyFont="1" applyBorder="1" applyAlignment="1" applyProtection="1">
      <alignment/>
      <protection/>
    </xf>
    <xf numFmtId="0" fontId="0" fillId="0" borderId="3" xfId="0" applyFont="1" applyBorder="1" applyAlignment="1" applyProtection="1">
      <alignment vertical="center" wrapText="1"/>
      <protection/>
    </xf>
    <xf numFmtId="164" fontId="0" fillId="0" borderId="4" xfId="15" applyNumberFormat="1" applyFont="1" applyBorder="1" applyAlignment="1" applyProtection="1">
      <alignment vertical="center"/>
      <protection/>
    </xf>
    <xf numFmtId="0" fontId="0" fillId="0" borderId="2" xfId="0" applyFont="1" applyBorder="1" applyAlignment="1" applyProtection="1">
      <alignment vertical="center" wrapText="1"/>
      <protection/>
    </xf>
    <xf numFmtId="164" fontId="0" fillId="0" borderId="2" xfId="0" applyNumberFormat="1" applyFont="1" applyBorder="1" applyAlignment="1" applyProtection="1">
      <alignment vertical="center"/>
      <protection/>
    </xf>
    <xf numFmtId="0" fontId="10" fillId="0" borderId="0" xfId="0" applyFont="1" applyBorder="1" applyAlignment="1" applyProtection="1">
      <alignment/>
      <protection/>
    </xf>
    <xf numFmtId="164" fontId="10" fillId="0" borderId="0" xfId="15" applyNumberFormat="1" applyFont="1" applyBorder="1" applyAlignment="1" applyProtection="1">
      <alignment/>
      <protection/>
    </xf>
    <xf numFmtId="0" fontId="13" fillId="0" borderId="0" xfId="0" applyFont="1" applyAlignment="1" applyProtection="1">
      <alignment horizontal="center"/>
      <protection/>
    </xf>
    <xf numFmtId="0" fontId="9" fillId="0" borderId="0" xfId="0" applyFont="1" applyAlignment="1" applyProtection="1">
      <alignment/>
      <protection/>
    </xf>
    <xf numFmtId="0" fontId="10" fillId="0" borderId="4" xfId="0" applyFont="1" applyBorder="1" applyAlignment="1">
      <alignment/>
    </xf>
    <xf numFmtId="164" fontId="10" fillId="0" borderId="4" xfId="15" applyNumberFormat="1" applyFont="1" applyBorder="1" applyAlignment="1">
      <alignment/>
    </xf>
    <xf numFmtId="0" fontId="0" fillId="0" borderId="4" xfId="0" applyFont="1" applyBorder="1" applyAlignment="1">
      <alignment/>
    </xf>
    <xf numFmtId="164" fontId="0" fillId="0" borderId="4" xfId="15" applyNumberFormat="1" applyFont="1" applyBorder="1" applyAlignment="1">
      <alignment/>
    </xf>
    <xf numFmtId="164" fontId="0" fillId="0" borderId="0" xfId="0" applyNumberFormat="1" applyAlignment="1" applyProtection="1">
      <alignment/>
      <protection locked="0"/>
    </xf>
    <xf numFmtId="0" fontId="0" fillId="0" borderId="5" xfId="0" applyFont="1" applyBorder="1" applyAlignment="1">
      <alignment/>
    </xf>
    <xf numFmtId="164" fontId="0" fillId="0" borderId="5" xfId="15" applyNumberFormat="1" applyFont="1" applyBorder="1" applyAlignment="1">
      <alignment/>
    </xf>
    <xf numFmtId="165" fontId="0" fillId="0" borderId="4" xfId="19" applyNumberFormat="1" applyFont="1" applyBorder="1" applyAlignment="1">
      <alignment/>
    </xf>
    <xf numFmtId="164" fontId="0" fillId="0" borderId="2" xfId="15" applyNumberFormat="1" applyFont="1" applyBorder="1" applyAlignment="1" applyProtection="1">
      <alignment/>
      <protection/>
    </xf>
    <xf numFmtId="0" fontId="4"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6"/>
  <sheetViews>
    <sheetView tabSelected="1" workbookViewId="0" topLeftCell="A1">
      <selection activeCell="A15" sqref="A15"/>
    </sheetView>
  </sheetViews>
  <sheetFormatPr defaultColWidth="11.421875" defaultRowHeight="12.75"/>
  <cols>
    <col min="1" max="1" width="84.7109375" style="0" customWidth="1"/>
    <col min="2" max="2" width="8.7109375" style="0" customWidth="1"/>
    <col min="3" max="3" width="50.7109375" style="0" customWidth="1"/>
    <col min="4" max="5" width="8.7109375" style="0" customWidth="1"/>
  </cols>
  <sheetData>
    <row r="1" ht="12.75">
      <c r="A1" s="3" t="s">
        <v>4</v>
      </c>
    </row>
    <row r="2" ht="12.75">
      <c r="A2" s="3" t="s">
        <v>3</v>
      </c>
    </row>
    <row r="3" ht="6.75" customHeight="1"/>
    <row r="4" ht="6.75" customHeight="1"/>
    <row r="5" ht="18">
      <c r="A5" s="5" t="s">
        <v>1</v>
      </c>
    </row>
    <row r="6" ht="18">
      <c r="A6" s="5" t="s">
        <v>2</v>
      </c>
    </row>
    <row r="7" ht="15.75">
      <c r="A7" s="6" t="s">
        <v>0</v>
      </c>
    </row>
    <row r="8" s="4" customFormat="1" ht="11.25"/>
    <row r="9" s="4" customFormat="1" ht="12.75">
      <c r="A9" s="8" t="s">
        <v>5</v>
      </c>
    </row>
    <row r="10" s="4" customFormat="1" ht="12.75">
      <c r="A10" s="2"/>
    </row>
    <row r="11" ht="12.75">
      <c r="A11" s="1" t="s">
        <v>281</v>
      </c>
    </row>
    <row r="12" ht="15.75">
      <c r="A12" s="7" t="s">
        <v>282</v>
      </c>
    </row>
    <row r="13" ht="15.75">
      <c r="A13" s="7" t="s">
        <v>283</v>
      </c>
    </row>
    <row r="14" ht="19.5" customHeight="1">
      <c r="A14" s="10" t="s">
        <v>284</v>
      </c>
    </row>
    <row r="15" ht="9.75" customHeight="1">
      <c r="A15" s="162" t="s">
        <v>307</v>
      </c>
    </row>
    <row r="16" ht="15.75">
      <c r="A16" s="9">
        <v>2002</v>
      </c>
    </row>
  </sheetData>
  <sheetProtection sheet="1" objects="1" scenarios="1"/>
  <printOptions/>
  <pageMargins left="0.75" right="0.75" top="1" bottom="1"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11.421875" defaultRowHeight="12.75"/>
  <cols>
    <col min="1" max="1" width="32.7109375" style="16" customWidth="1"/>
    <col min="2" max="6" width="8.7109375" style="16" customWidth="1"/>
    <col min="7" max="16384" width="11.421875" style="16" customWidth="1"/>
  </cols>
  <sheetData>
    <row r="1" spans="1:5" ht="12.75">
      <c r="A1" s="152" t="str">
        <f>+VENTAS!A1</f>
        <v>AFIC - Ejercicio de Aplicación 2</v>
      </c>
      <c r="B1" s="42"/>
      <c r="C1" s="42"/>
      <c r="D1" s="42"/>
      <c r="E1" s="42"/>
    </row>
    <row r="2" spans="1:5" ht="12.75">
      <c r="A2" s="152" t="str">
        <f>+VENTAS!A2</f>
        <v>BODEGAS ESMERALDA</v>
      </c>
      <c r="B2" s="42"/>
      <c r="C2" s="42"/>
      <c r="D2" s="42"/>
      <c r="E2" s="42"/>
    </row>
    <row r="3" spans="1:6" ht="12.75">
      <c r="A3" s="42"/>
      <c r="B3" s="42"/>
      <c r="C3" s="42"/>
      <c r="D3" s="42"/>
      <c r="E3" s="42"/>
      <c r="F3" s="25" t="s">
        <v>252</v>
      </c>
    </row>
    <row r="4" spans="1:6" ht="12.75">
      <c r="A4" s="68" t="s">
        <v>101</v>
      </c>
      <c r="B4" s="88"/>
      <c r="C4" s="88"/>
      <c r="D4" s="88"/>
      <c r="E4" s="88"/>
      <c r="F4" s="24"/>
    </row>
    <row r="5" spans="1:6" ht="12.75">
      <c r="A5" s="106"/>
      <c r="B5" s="71">
        <v>1996</v>
      </c>
      <c r="C5" s="71">
        <v>1997</v>
      </c>
      <c r="D5" s="71">
        <v>1998</v>
      </c>
      <c r="E5" s="71">
        <v>1999</v>
      </c>
      <c r="F5" s="18">
        <v>2000</v>
      </c>
    </row>
    <row r="6" spans="1:6" ht="12.75">
      <c r="A6" s="72" t="s">
        <v>45</v>
      </c>
      <c r="B6" s="73">
        <f>+'EST RESULT'!B6</f>
        <v>17469</v>
      </c>
      <c r="C6" s="73">
        <f>+'EST RESULT'!C6</f>
        <v>19689</v>
      </c>
      <c r="D6" s="73">
        <f>+'EST RESULT'!D6</f>
        <v>23421</v>
      </c>
      <c r="E6" s="73">
        <f>+'EST RESULT'!E6</f>
        <v>28444</v>
      </c>
      <c r="F6" s="20"/>
    </row>
    <row r="7" spans="1:6" ht="12.75">
      <c r="A7" s="72" t="s">
        <v>70</v>
      </c>
      <c r="B7" s="73">
        <f>+'EST RESULT'!B8</f>
        <v>9575</v>
      </c>
      <c r="C7" s="73">
        <f>+'EST RESULT'!C8</f>
        <v>8913</v>
      </c>
      <c r="D7" s="73">
        <f>+'EST RESULT'!D8</f>
        <v>10041</v>
      </c>
      <c r="E7" s="73">
        <f>+'EST RESULT'!E8</f>
        <v>13550</v>
      </c>
      <c r="F7" s="20"/>
    </row>
    <row r="8" spans="1:6" ht="12.75">
      <c r="A8" s="72" t="s">
        <v>65</v>
      </c>
      <c r="B8" s="100">
        <f>+'EST RES REORD'!B16</f>
        <v>3204.13</v>
      </c>
      <c r="C8" s="100">
        <f>+'EST RES REORD'!C16</f>
        <v>1632.85</v>
      </c>
      <c r="D8" s="100">
        <f>+'EST RES REORD'!D16</f>
        <v>1122.45</v>
      </c>
      <c r="E8" s="100">
        <f>+'EST RES REORD'!E16</f>
        <v>3639.25</v>
      </c>
      <c r="F8" s="29"/>
    </row>
    <row r="9" spans="1:6" ht="12.75">
      <c r="A9" s="89" t="s">
        <v>100</v>
      </c>
      <c r="B9" s="107">
        <f>+B7/B6</f>
        <v>0.5481138015913904</v>
      </c>
      <c r="C9" s="107">
        <f>+C7/C6</f>
        <v>0.4526893189090355</v>
      </c>
      <c r="D9" s="107">
        <f>+D7/D6</f>
        <v>0.42871781734340975</v>
      </c>
      <c r="E9" s="107">
        <f>+E7/E6</f>
        <v>0.4763746308536071</v>
      </c>
      <c r="F9" s="34"/>
    </row>
    <row r="10" spans="1:6" ht="12.75">
      <c r="A10" s="75" t="s">
        <v>99</v>
      </c>
      <c r="B10" s="104">
        <f>+B8/B6</f>
        <v>0.1834180548400023</v>
      </c>
      <c r="C10" s="104">
        <f>+C8/C6</f>
        <v>0.08293209406267459</v>
      </c>
      <c r="D10" s="104">
        <f>+D8/D6</f>
        <v>0.04792493915716665</v>
      </c>
      <c r="E10" s="104">
        <f>+E8/E6</f>
        <v>0.12794438194346786</v>
      </c>
      <c r="F10" s="32"/>
    </row>
    <row r="11" spans="1:6" ht="12.75">
      <c r="A11" s="108"/>
      <c r="B11" s="109"/>
      <c r="C11" s="109"/>
      <c r="D11" s="109"/>
      <c r="E11" s="109"/>
      <c r="F11" s="36"/>
    </row>
    <row r="12" spans="1:6" ht="12.75">
      <c r="A12" s="77" t="s">
        <v>98</v>
      </c>
      <c r="B12" s="109"/>
      <c r="C12" s="109"/>
      <c r="D12" s="109"/>
      <c r="E12" s="109"/>
      <c r="F12" s="36"/>
    </row>
    <row r="13" spans="1:6" ht="12.75">
      <c r="A13" s="89"/>
      <c r="B13" s="71">
        <v>1996</v>
      </c>
      <c r="C13" s="71">
        <v>1997</v>
      </c>
      <c r="D13" s="71">
        <v>1998</v>
      </c>
      <c r="E13" s="71">
        <v>1999</v>
      </c>
      <c r="F13" s="18">
        <v>2000</v>
      </c>
    </row>
    <row r="14" spans="1:6" ht="12.75">
      <c r="A14" s="72" t="s">
        <v>45</v>
      </c>
      <c r="B14" s="103">
        <f>+'EST RES REORD'!B6/'EST RES REORD'!B$6</f>
        <v>1</v>
      </c>
      <c r="C14" s="103">
        <f>+'EST RES REORD'!C6/'EST RES REORD'!C$6</f>
        <v>1</v>
      </c>
      <c r="D14" s="103">
        <f>+'EST RES REORD'!D6/'EST RES REORD'!D$6</f>
        <v>1</v>
      </c>
      <c r="E14" s="103">
        <f>+'EST RES REORD'!E6/'EST RES REORD'!E$6</f>
        <v>1</v>
      </c>
      <c r="F14" s="31"/>
    </row>
    <row r="15" spans="1:6" ht="12.75">
      <c r="A15" s="72" t="s">
        <v>44</v>
      </c>
      <c r="B15" s="103">
        <f>+'EST RES REORD'!B7/'EST RES REORD'!B$6</f>
        <v>-0.45188619840860955</v>
      </c>
      <c r="C15" s="103">
        <f>+'EST RES REORD'!C7/'EST RES REORD'!C$6</f>
        <v>-0.5473106810909645</v>
      </c>
      <c r="D15" s="103">
        <f>+'EST RES REORD'!D7/'EST RES REORD'!D$6</f>
        <v>-0.5712821826565903</v>
      </c>
      <c r="E15" s="103">
        <f>+'EST RES REORD'!E7/'EST RES REORD'!E$6</f>
        <v>-0.5236253691463929</v>
      </c>
      <c r="F15" s="31"/>
    </row>
    <row r="16" spans="1:6" ht="12.75">
      <c r="A16" s="80" t="s">
        <v>70</v>
      </c>
      <c r="B16" s="103">
        <f>+'EST RES REORD'!B8/'EST RES REORD'!B$6</f>
        <v>0.5481138015913904</v>
      </c>
      <c r="C16" s="103">
        <f>+'EST RES REORD'!C8/'EST RES REORD'!C$6</f>
        <v>0.4526893189090355</v>
      </c>
      <c r="D16" s="103">
        <f>+'EST RES REORD'!D8/'EST RES REORD'!D$6</f>
        <v>0.42871781734340975</v>
      </c>
      <c r="E16" s="103">
        <f>+'EST RES REORD'!E8/'EST RES REORD'!E$6</f>
        <v>0.4763746308536071</v>
      </c>
      <c r="F16" s="31"/>
    </row>
    <row r="17" spans="1:6" ht="12.75">
      <c r="A17" s="72" t="s">
        <v>42</v>
      </c>
      <c r="B17" s="103">
        <f>+'EST RES REORD'!B9/'EST RES REORD'!B$6</f>
        <v>-0.2829011391607991</v>
      </c>
      <c r="C17" s="103">
        <f>+'EST RES REORD'!C9/'EST RES REORD'!C$6</f>
        <v>-0.2933109858296511</v>
      </c>
      <c r="D17" s="103">
        <f>+'EST RES REORD'!D9/'EST RES REORD'!D$6</f>
        <v>-0.30600742923017804</v>
      </c>
      <c r="E17" s="103">
        <f>+'EST RES REORD'!E9/'EST RES REORD'!E$6</f>
        <v>-0.28234425537899027</v>
      </c>
      <c r="F17" s="31"/>
    </row>
    <row r="18" spans="1:6" ht="12.75">
      <c r="A18" s="72" t="s">
        <v>41</v>
      </c>
      <c r="B18" s="103">
        <f>+'EST RES REORD'!B10/'EST RES REORD'!B$6</f>
        <v>-0.043963592649836854</v>
      </c>
      <c r="C18" s="103">
        <f>+'EST RES REORD'!C10/'EST RES REORD'!C$6</f>
        <v>-0.037889176697648436</v>
      </c>
      <c r="D18" s="103">
        <f>+'EST RES REORD'!D10/'EST RES REORD'!D$6</f>
        <v>-0.035907945860552494</v>
      </c>
      <c r="E18" s="103">
        <f>+'EST RES REORD'!E10/'EST RES REORD'!E$6</f>
        <v>-0.026824637884966952</v>
      </c>
      <c r="F18" s="31"/>
    </row>
    <row r="19" spans="1:6" ht="12.75">
      <c r="A19" s="72" t="s">
        <v>97</v>
      </c>
      <c r="B19" s="103">
        <f>SUM('EST RES REORD'!B11:B13)/'EST RES REORD'!B6</f>
        <v>0.03732325834335108</v>
      </c>
      <c r="C19" s="103">
        <f>SUM('EST RES REORD'!C11:C13)/'EST RES REORD'!C6</f>
        <v>0.003910813144395348</v>
      </c>
      <c r="D19" s="103">
        <f>SUM('EST RES REORD'!D11:D13)/'EST RES REORD'!D6</f>
        <v>0.0014516886554801246</v>
      </c>
      <c r="E19" s="103">
        <f>SUM('EST RES REORD'!E11:E13)/'EST RES REORD'!E6</f>
        <v>0.005308676698073407</v>
      </c>
      <c r="F19" s="31"/>
    </row>
    <row r="20" spans="1:6" ht="12.75">
      <c r="A20" s="72" t="s">
        <v>67</v>
      </c>
      <c r="B20" s="103">
        <f>+'EST RES REORD'!B14/'EST RES REORD'!B6</f>
        <v>0.2585723281241056</v>
      </c>
      <c r="C20" s="103">
        <f>+'EST RES REORD'!C14/'EST RES REORD'!C6</f>
        <v>0.12539996952613133</v>
      </c>
      <c r="D20" s="103">
        <f>+'EST RES REORD'!D14/'EST RES REORD'!D6</f>
        <v>0.08825413090815934</v>
      </c>
      <c r="E20" s="103">
        <f>+'EST RES REORD'!E14/'EST RES REORD'!E6</f>
        <v>0.17251441428772324</v>
      </c>
      <c r="F20" s="31"/>
    </row>
    <row r="21" spans="1:6" ht="12.75">
      <c r="A21" s="72" t="s">
        <v>37</v>
      </c>
      <c r="B21" s="103">
        <f>+'EST RES REORD'!B15/'EST RES REORD'!B6</f>
        <v>-0.07515427328410326</v>
      </c>
      <c r="C21" s="103">
        <f>+'EST RES REORD'!C15/'EST RES REORD'!C6</f>
        <v>-0.042467875463456754</v>
      </c>
      <c r="D21" s="103">
        <f>+'EST RES REORD'!D15/'EST RES REORD'!D6</f>
        <v>-0.0403291917509927</v>
      </c>
      <c r="E21" s="103">
        <f>+'EST RES REORD'!E15/'EST RES REORD'!E6</f>
        <v>-0.04457003234425538</v>
      </c>
      <c r="F21" s="31"/>
    </row>
    <row r="22" spans="1:6" ht="12.75">
      <c r="A22" s="75" t="s">
        <v>65</v>
      </c>
      <c r="B22" s="104">
        <f>+'EST RES REORD'!B16/'EST RES REORD'!B6</f>
        <v>0.1834180548400023</v>
      </c>
      <c r="C22" s="104">
        <f>+'EST RES REORD'!C16/'EST RES REORD'!C6</f>
        <v>0.08293209406267459</v>
      </c>
      <c r="D22" s="104">
        <f>+'EST RES REORD'!D16/'EST RES REORD'!D6</f>
        <v>0.04792493915716665</v>
      </c>
      <c r="E22" s="104">
        <f>+'EST RES REORD'!E16/'EST RES REORD'!E6</f>
        <v>0.12794438194346786</v>
      </c>
      <c r="F22" s="32"/>
    </row>
    <row r="23" spans="1:6" ht="12.75">
      <c r="A23" s="108"/>
      <c r="B23" s="109"/>
      <c r="C23" s="109"/>
      <c r="D23" s="109"/>
      <c r="E23" s="109"/>
      <c r="F23" s="36"/>
    </row>
    <row r="24" spans="1:6" ht="12.75">
      <c r="A24" s="77" t="s">
        <v>96</v>
      </c>
      <c r="B24" s="109"/>
      <c r="C24" s="109"/>
      <c r="D24" s="109"/>
      <c r="E24" s="109"/>
      <c r="F24" s="36"/>
    </row>
    <row r="25" spans="1:6" ht="12.75">
      <c r="A25" s="70" t="s">
        <v>81</v>
      </c>
      <c r="B25" s="71">
        <v>1996</v>
      </c>
      <c r="C25" s="71">
        <v>1997</v>
      </c>
      <c r="D25" s="71">
        <v>1998</v>
      </c>
      <c r="E25" s="71">
        <v>1999</v>
      </c>
      <c r="F25" s="71">
        <v>2000</v>
      </c>
    </row>
    <row r="26" spans="1:6" ht="12.75">
      <c r="A26" s="89" t="s">
        <v>95</v>
      </c>
      <c r="B26" s="110">
        <f>+'EST RESULT'!B6/VENTAS!B8</f>
        <v>13.722702278083268</v>
      </c>
      <c r="C26" s="110">
        <f>+'EST RESULT'!C6/VENTAS!C8</f>
        <v>14.113978494623655</v>
      </c>
      <c r="D26" s="110">
        <f>+'EST RESULT'!D6/VENTAS!D8</f>
        <v>13.106323447118076</v>
      </c>
      <c r="E26" s="110">
        <f>+'EST RESULT'!E6/VENTAS!E8</f>
        <v>15.081654294803817</v>
      </c>
      <c r="F26" s="110">
        <f>+'EST RESULT'!F6/VENTAS!F8</f>
        <v>14.831341301460823</v>
      </c>
    </row>
    <row r="27" spans="1:6" ht="12.75">
      <c r="A27" s="72" t="s">
        <v>94</v>
      </c>
      <c r="B27" s="110">
        <f>-'EST RESULT'!B7/VENTAS!B8</f>
        <v>6.201099764336214</v>
      </c>
      <c r="C27" s="110">
        <f>-'EST RESULT'!C7/VENTAS!C8</f>
        <v>7.724731182795699</v>
      </c>
      <c r="D27" s="110">
        <f>-'EST RESULT'!D7/VENTAS!D8</f>
        <v>7.48740906547286</v>
      </c>
      <c r="E27" s="110">
        <f>-'EST RESULT'!E7/VENTAS!E8</f>
        <v>7.897136797454931</v>
      </c>
      <c r="F27" s="110">
        <f>-'EST RESULT'!F7/VENTAS!F8</f>
        <v>7.8804780876494025</v>
      </c>
    </row>
    <row r="28" spans="1:6" ht="12.75">
      <c r="A28" s="72" t="s">
        <v>93</v>
      </c>
      <c r="B28" s="110">
        <f>-'EST RESULT'!B9/VENTAS!B8</f>
        <v>3.88216810683425</v>
      </c>
      <c r="C28" s="110">
        <f>-'EST RESULT'!C9/VENTAS!C8</f>
        <v>4.139784946236559</v>
      </c>
      <c r="D28" s="110">
        <f>-'EST RESULT'!D9/VENTAS!D8</f>
        <v>4.010632344711808</v>
      </c>
      <c r="E28" s="110">
        <f>-'EST RESULT'!E9/VENTAS!E8</f>
        <v>4.258218451749735</v>
      </c>
      <c r="F28" s="110">
        <f>-'EST RESULT'!F9/VENTAS!F8</f>
        <v>3.910579902611775</v>
      </c>
    </row>
    <row r="29" spans="1:6" ht="12.75">
      <c r="A29" s="75" t="s">
        <v>92</v>
      </c>
      <c r="B29" s="111">
        <f>+'EST RES REORD'!B16/VENTAS!B8</f>
        <v>2.516991358994501</v>
      </c>
      <c r="C29" s="111">
        <f>+'EST RES REORD'!C16/VENTAS!C8</f>
        <v>1.1705017921146952</v>
      </c>
      <c r="D29" s="111">
        <f>+'EST RES REORD'!D16/VENTAS!D8</f>
        <v>0.6281197537772804</v>
      </c>
      <c r="E29" s="111">
        <f>+'EST RES REORD'!E16/VENTAS!E8</f>
        <v>1.929612937433722</v>
      </c>
      <c r="F29" s="111">
        <v>1.9</v>
      </c>
    </row>
    <row r="30" spans="1:6" ht="12.75">
      <c r="A30" s="108"/>
      <c r="B30" s="112"/>
      <c r="C30" s="112"/>
      <c r="D30" s="112"/>
      <c r="E30" s="112"/>
      <c r="F30" s="112"/>
    </row>
    <row r="31" spans="1:6" ht="12.75">
      <c r="A31" s="68" t="s">
        <v>91</v>
      </c>
      <c r="B31" s="109"/>
      <c r="C31" s="109"/>
      <c r="D31" s="109"/>
      <c r="E31" s="109"/>
      <c r="F31" s="109"/>
    </row>
    <row r="32" spans="1:6" ht="12.75">
      <c r="A32" s="89"/>
      <c r="B32" s="71">
        <v>1996</v>
      </c>
      <c r="C32" s="71">
        <v>1997</v>
      </c>
      <c r="D32" s="71">
        <v>1998</v>
      </c>
      <c r="E32" s="71">
        <v>1999</v>
      </c>
      <c r="F32" s="71">
        <v>2000</v>
      </c>
    </row>
    <row r="33" spans="1:6" ht="12.75">
      <c r="A33" s="72" t="s">
        <v>90</v>
      </c>
      <c r="B33" s="103"/>
      <c r="C33" s="103"/>
      <c r="D33" s="103"/>
      <c r="E33" s="103"/>
      <c r="F33" s="103"/>
    </row>
    <row r="34" spans="1:6" ht="12.75">
      <c r="A34" s="72" t="s">
        <v>87</v>
      </c>
      <c r="B34" s="103"/>
      <c r="C34" s="103">
        <f>+'EST RESULT'!C6/'EST RESULT'!B6-1</f>
        <v>0.1270822600034347</v>
      </c>
      <c r="D34" s="103">
        <f>+'EST RESULT'!D6/'EST RESULT'!C6-1</f>
        <v>0.18954746305043435</v>
      </c>
      <c r="E34" s="103">
        <f>+'EST RESULT'!E6/'EST RESULT'!D6-1</f>
        <v>0.21446565048460786</v>
      </c>
      <c r="F34" s="103">
        <f>+'EST RESULT'!F6/'EST RESULT'!E6-1</f>
        <v>0.1778934045844467</v>
      </c>
    </row>
    <row r="35" spans="1:6" ht="12.75">
      <c r="A35" s="72" t="s">
        <v>89</v>
      </c>
      <c r="B35" s="104"/>
      <c r="C35" s="104">
        <f>+VENTAS!C8/VENTAS!B8-1</f>
        <v>0.09583660644147685</v>
      </c>
      <c r="D35" s="104">
        <f>+VENTAS!D8/VENTAS!C8-1</f>
        <v>0.28100358422939076</v>
      </c>
      <c r="E35" s="104">
        <f>+VENTAS!E8/VENTAS!D8-1</f>
        <v>0.05540011191941807</v>
      </c>
      <c r="F35" s="104">
        <f>+VENTAS!F8/VENTAS!E8-1</f>
        <v>0.1977730646871687</v>
      </c>
    </row>
    <row r="36" spans="1:6" ht="12.75">
      <c r="A36" s="89" t="s">
        <v>88</v>
      </c>
      <c r="B36" s="103"/>
      <c r="C36" s="103"/>
      <c r="D36" s="103"/>
      <c r="E36" s="103"/>
      <c r="F36" s="103"/>
    </row>
    <row r="37" spans="1:6" ht="12.75">
      <c r="A37" s="72" t="s">
        <v>87</v>
      </c>
      <c r="B37" s="113">
        <v>1</v>
      </c>
      <c r="C37" s="113">
        <f>+'EST RES REORD'!C6/$B6</f>
        <v>1.1270822600034347</v>
      </c>
      <c r="D37" s="113">
        <f>+'EST RES REORD'!D6/$B6</f>
        <v>1.3407178430362356</v>
      </c>
      <c r="E37" s="113">
        <f>+'EST RES REORD'!E6/$B6</f>
        <v>1.6282557673593223</v>
      </c>
      <c r="F37" s="113">
        <v>1.92</v>
      </c>
    </row>
    <row r="38" spans="1:6" ht="12.75">
      <c r="A38" s="72" t="s">
        <v>86</v>
      </c>
      <c r="B38" s="113">
        <v>1</v>
      </c>
      <c r="C38" s="113">
        <f>+VENTAS!C8/VENTAS!$B8</f>
        <v>1.0958366064414768</v>
      </c>
      <c r="D38" s="113">
        <f>+VENTAS!D8/VENTAS!$B8</f>
        <v>1.403770620581304</v>
      </c>
      <c r="E38" s="113">
        <f>+VENTAS!E8/VENTAS!$B8</f>
        <v>1.481539670070699</v>
      </c>
      <c r="F38" s="113">
        <f>+VENTAS!F8/VENTAS!$B8</f>
        <v>1.774548311076198</v>
      </c>
    </row>
    <row r="39" spans="1:6" ht="12.75">
      <c r="A39" s="72" t="s">
        <v>85</v>
      </c>
      <c r="B39" s="113">
        <v>1</v>
      </c>
      <c r="C39" s="113">
        <f>+C26/$B26</f>
        <v>1.0285130587701592</v>
      </c>
      <c r="D39" s="113">
        <f>+D26/$B26</f>
        <v>0.9550832759849625</v>
      </c>
      <c r="E39" s="113">
        <f>+E26/$B26</f>
        <v>1.099029476059606</v>
      </c>
      <c r="F39" s="113">
        <f>+F26/$B26</f>
        <v>1.0807886814791703</v>
      </c>
    </row>
    <row r="40" spans="1:6" ht="12.75">
      <c r="A40" s="72" t="s">
        <v>44</v>
      </c>
      <c r="B40" s="113">
        <v>1</v>
      </c>
      <c r="C40" s="113">
        <f>+'EST RES REORD'!C7/'EST RES REORD'!$B7</f>
        <v>1.3650874081580948</v>
      </c>
      <c r="D40" s="113">
        <f>+'EST RES REORD'!D7/'EST RES REORD'!$B7</f>
        <v>1.6949581960983024</v>
      </c>
      <c r="E40" s="113">
        <f>+'EST RES REORD'!E7/'EST RES REORD'!$B7</f>
        <v>1.886749429946795</v>
      </c>
      <c r="F40" s="113">
        <v>2.26</v>
      </c>
    </row>
    <row r="41" spans="1:6" ht="12.75">
      <c r="A41" s="72" t="s">
        <v>84</v>
      </c>
      <c r="B41" s="113">
        <v>1</v>
      </c>
      <c r="C41" s="113">
        <f>+C27/$B27</f>
        <v>1.245703419774376</v>
      </c>
      <c r="D41" s="113">
        <f>+D27/$B27</f>
        <v>1.2074324474723777</v>
      </c>
      <c r="E41" s="113">
        <f>+E27/$B27</f>
        <v>1.2735058453458483</v>
      </c>
      <c r="F41" s="113">
        <f>+F27/$B27</f>
        <v>1.270819433186938</v>
      </c>
    </row>
    <row r="42" spans="1:6" ht="12.75">
      <c r="A42" s="72" t="s">
        <v>83</v>
      </c>
      <c r="B42" s="113"/>
      <c r="C42" s="113"/>
      <c r="D42" s="113"/>
      <c r="E42" s="113"/>
      <c r="F42" s="113"/>
    </row>
    <row r="43" spans="1:6" ht="12.75">
      <c r="A43" s="72" t="s">
        <v>82</v>
      </c>
      <c r="B43" s="113">
        <v>1</v>
      </c>
      <c r="C43" s="113">
        <f>+'EST RES REORD'!C9/'EST RES REORD'!$B9</f>
        <v>1.1685552407932012</v>
      </c>
      <c r="D43" s="113">
        <f>+'EST RES REORD'!D9/'EST RES REORD'!$B9</f>
        <v>1.4502225819506274</v>
      </c>
      <c r="E43" s="113">
        <f>+'EST RES REORD'!E9/'EST RES REORD'!$B9</f>
        <v>1.6250505868069607</v>
      </c>
      <c r="F43" s="113">
        <v>1.79</v>
      </c>
    </row>
    <row r="44" spans="1:6" ht="12.75">
      <c r="A44" s="72" t="s">
        <v>81</v>
      </c>
      <c r="B44" s="113">
        <v>1</v>
      </c>
      <c r="C44" s="113">
        <f aca="true" t="shared" si="0" ref="C44:F45">+C28/$B28</f>
        <v>1.0663590118492796</v>
      </c>
      <c r="D44" s="113">
        <f t="shared" si="0"/>
        <v>1.03309084880982</v>
      </c>
      <c r="E44" s="113">
        <f t="shared" si="0"/>
        <v>1.0968660641597354</v>
      </c>
      <c r="F44" s="113">
        <f t="shared" si="0"/>
        <v>1.007318538248642</v>
      </c>
    </row>
    <row r="45" spans="1:6" ht="12.75">
      <c r="A45" s="75" t="s">
        <v>80</v>
      </c>
      <c r="B45" s="114">
        <v>1</v>
      </c>
      <c r="C45" s="114">
        <f t="shared" si="0"/>
        <v>0.465040051858697</v>
      </c>
      <c r="D45" s="114">
        <f t="shared" si="0"/>
        <v>0.2495518117424942</v>
      </c>
      <c r="E45" s="114">
        <f t="shared" si="0"/>
        <v>0.7666347087518697</v>
      </c>
      <c r="F45" s="114">
        <f t="shared" si="0"/>
        <v>0.7548694965560073</v>
      </c>
    </row>
  </sheetData>
  <sheetProtection sheet="1" objects="1" scenarios="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B18"/>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152" t="str">
        <f>+VENTAS!A1</f>
        <v>AFIC - Ejercicio de Aplicación 2</v>
      </c>
    </row>
    <row r="2" ht="12.75">
      <c r="A2" s="152" t="str">
        <f>+VENTAS!A2</f>
        <v>BODEGAS ESMERALDA</v>
      </c>
    </row>
    <row r="3" ht="12.75">
      <c r="B3" s="151" t="s">
        <v>277</v>
      </c>
    </row>
    <row r="4" ht="25.5">
      <c r="B4" s="12" t="s">
        <v>258</v>
      </c>
    </row>
    <row r="5" ht="13.5" thickBot="1"/>
    <row r="6" spans="1:2" ht="24.75" thickBot="1">
      <c r="A6" s="13" t="s">
        <v>253</v>
      </c>
      <c r="B6" s="14"/>
    </row>
    <row r="7" spans="1:2" ht="12.75">
      <c r="A7" s="11"/>
      <c r="B7" s="15"/>
    </row>
    <row r="8" ht="89.25">
      <c r="B8" s="12" t="s">
        <v>259</v>
      </c>
    </row>
    <row r="9" ht="13.5" thickBot="1"/>
    <row r="10" spans="1:2" ht="24.75" thickBot="1">
      <c r="A10" s="13" t="s">
        <v>253</v>
      </c>
      <c r="B10" s="14"/>
    </row>
    <row r="12" ht="12.75">
      <c r="B12" s="12" t="s">
        <v>260</v>
      </c>
    </row>
    <row r="13" ht="13.5" thickBot="1"/>
    <row r="14" spans="1:2" ht="24.75" thickBot="1">
      <c r="A14" s="13" t="s">
        <v>253</v>
      </c>
      <c r="B14" s="14"/>
    </row>
    <row r="16" ht="51">
      <c r="B16" s="12" t="s">
        <v>261</v>
      </c>
    </row>
    <row r="17" ht="13.5" thickBot="1"/>
    <row r="18" spans="1:2" ht="24.75" thickBot="1">
      <c r="A18" s="13" t="s">
        <v>253</v>
      </c>
      <c r="B18" s="14"/>
    </row>
  </sheetData>
  <sheetProtection sheet="1" objects="1" scenarios="1"/>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11.421875" defaultRowHeight="12.75"/>
  <cols>
    <col min="1" max="1" width="37.7109375" style="16" customWidth="1"/>
    <col min="2" max="6" width="8.7109375" style="16" customWidth="1"/>
    <col min="7" max="16384" width="11.421875" style="16" customWidth="1"/>
  </cols>
  <sheetData>
    <row r="1" spans="1:5" ht="12.75">
      <c r="A1" s="152" t="str">
        <f>+VENTAS!A1</f>
        <v>AFIC - Ejercicio de Aplicación 2</v>
      </c>
      <c r="B1" s="42"/>
      <c r="C1" s="42"/>
      <c r="D1" s="42"/>
      <c r="E1" s="42"/>
    </row>
    <row r="2" spans="1:5" ht="12.75">
      <c r="A2" s="152" t="str">
        <f>+VENTAS!A2</f>
        <v>BODEGAS ESMERALDA</v>
      </c>
      <c r="B2" s="42"/>
      <c r="C2" s="42"/>
      <c r="D2" s="42"/>
      <c r="E2" s="42"/>
    </row>
    <row r="3" spans="1:6" ht="12.75">
      <c r="A3" s="42"/>
      <c r="B3" s="42"/>
      <c r="C3" s="42"/>
      <c r="D3" s="42"/>
      <c r="E3" s="42"/>
      <c r="F3" s="25" t="s">
        <v>252</v>
      </c>
    </row>
    <row r="4" spans="1:6" ht="12.75">
      <c r="A4" s="68" t="s">
        <v>117</v>
      </c>
      <c r="B4" s="69"/>
      <c r="C4" s="69"/>
      <c r="D4" s="69"/>
      <c r="E4" s="69"/>
      <c r="F4" s="17"/>
    </row>
    <row r="5" spans="1:6" ht="12.75">
      <c r="A5" s="115"/>
      <c r="B5" s="71">
        <v>1996</v>
      </c>
      <c r="C5" s="71">
        <v>1997</v>
      </c>
      <c r="D5" s="71">
        <v>1998</v>
      </c>
      <c r="E5" s="71">
        <v>1999</v>
      </c>
      <c r="F5" s="18">
        <v>2000</v>
      </c>
    </row>
    <row r="6" spans="1:6" ht="12.75">
      <c r="A6" s="72" t="s">
        <v>116</v>
      </c>
      <c r="B6" s="73">
        <f>+'EST PATR REORD'!B15</f>
        <v>14379</v>
      </c>
      <c r="C6" s="73">
        <f>+'EST PATR REORD'!C15</f>
        <v>15377</v>
      </c>
      <c r="D6" s="73">
        <f>+'EST PATR REORD'!D15</f>
        <v>20981</v>
      </c>
      <c r="E6" s="73">
        <f>+'EST PATR REORD'!E15</f>
        <v>26382</v>
      </c>
      <c r="F6" s="20"/>
    </row>
    <row r="7" spans="1:6" ht="12.75">
      <c r="A7" s="72" t="s">
        <v>115</v>
      </c>
      <c r="B7" s="73">
        <f>+'EST PATR REORD'!B23</f>
        <v>5584</v>
      </c>
      <c r="C7" s="73">
        <f>+'EST PATR REORD'!C23</f>
        <v>4746</v>
      </c>
      <c r="D7" s="73">
        <f>+'EST PATR REORD'!D23</f>
        <v>6919</v>
      </c>
      <c r="E7" s="73">
        <f>+'EST PATR REORD'!E23</f>
        <v>7598</v>
      </c>
      <c r="F7" s="20"/>
    </row>
    <row r="8" spans="1:6" ht="12.75">
      <c r="A8" s="72" t="s">
        <v>74</v>
      </c>
      <c r="B8" s="73">
        <f>+B6-B7</f>
        <v>8795</v>
      </c>
      <c r="C8" s="73">
        <f>+C6-C7</f>
        <v>10631</v>
      </c>
      <c r="D8" s="73">
        <f>+D6-D7</f>
        <v>14062</v>
      </c>
      <c r="E8" s="73">
        <f>+E6-E7</f>
        <v>18784</v>
      </c>
      <c r="F8" s="20"/>
    </row>
    <row r="9" spans="1:6" ht="12.75">
      <c r="A9" s="70" t="s">
        <v>114</v>
      </c>
      <c r="B9" s="116">
        <f>+MARGEN!B6/B8</f>
        <v>1.986242183058556</v>
      </c>
      <c r="C9" s="116">
        <f>+MARGEN!C6/C8</f>
        <v>1.8520364970369674</v>
      </c>
      <c r="D9" s="116">
        <f>+MARGEN!D6/D8</f>
        <v>1.6655525529796615</v>
      </c>
      <c r="E9" s="116">
        <f>+MARGEN!E6/E8</f>
        <v>1.514267461669506</v>
      </c>
      <c r="F9" s="47"/>
    </row>
    <row r="10" spans="1:6" ht="12.75">
      <c r="A10" s="72" t="s">
        <v>113</v>
      </c>
      <c r="B10" s="73"/>
      <c r="C10" s="73">
        <f>(B8+C8)/2</f>
        <v>9713</v>
      </c>
      <c r="D10" s="73">
        <f>(C8+D8)/2</f>
        <v>12346.5</v>
      </c>
      <c r="E10" s="73">
        <f>(D8+E8)/2</f>
        <v>16423</v>
      </c>
      <c r="F10" s="20"/>
    </row>
    <row r="11" spans="1:6" ht="12.75">
      <c r="A11" s="70" t="s">
        <v>112</v>
      </c>
      <c r="B11" s="117">
        <v>0</v>
      </c>
      <c r="C11" s="118">
        <f>+MARGEN!C6/C10</f>
        <v>2.027077113147328</v>
      </c>
      <c r="D11" s="118">
        <f>+MARGEN!D6/D10</f>
        <v>1.896974851172397</v>
      </c>
      <c r="E11" s="118">
        <f>+MARGEN!E6/E10</f>
        <v>1.7319612738232966</v>
      </c>
      <c r="F11" s="48"/>
    </row>
    <row r="12" spans="1:6" ht="12.75">
      <c r="A12" s="108"/>
      <c r="B12" s="119"/>
      <c r="C12" s="119"/>
      <c r="D12" s="119"/>
      <c r="E12" s="119"/>
      <c r="F12" s="49"/>
    </row>
    <row r="13" spans="1:6" ht="12.75">
      <c r="A13" s="70"/>
      <c r="B13" s="71">
        <v>1996</v>
      </c>
      <c r="C13" s="71">
        <v>1997</v>
      </c>
      <c r="D13" s="71">
        <v>1998</v>
      </c>
      <c r="E13" s="71">
        <v>1999</v>
      </c>
      <c r="F13" s="18">
        <v>2000</v>
      </c>
    </row>
    <row r="14" spans="1:6" ht="12.75">
      <c r="A14" s="72" t="s">
        <v>77</v>
      </c>
      <c r="B14" s="73">
        <f>+'EST PATRIM'!B10</f>
        <v>9623</v>
      </c>
      <c r="C14" s="73">
        <f>+'EST PATRIM'!C10</f>
        <v>9152</v>
      </c>
      <c r="D14" s="73">
        <f>+'EST PATRIM'!D10</f>
        <v>12827</v>
      </c>
      <c r="E14" s="73">
        <f>+'EST PATRIM'!E10</f>
        <v>15433</v>
      </c>
      <c r="F14" s="20"/>
    </row>
    <row r="15" spans="1:6" ht="12.75">
      <c r="A15" s="72" t="s">
        <v>51</v>
      </c>
      <c r="B15" s="73">
        <f>+'EST CONT RESUM'!B9</f>
        <v>5584</v>
      </c>
      <c r="C15" s="73">
        <f>+'EST CONT RESUM'!C9</f>
        <v>4746</v>
      </c>
      <c r="D15" s="73">
        <f>+'EST CONT RESUM'!D9</f>
        <v>6919</v>
      </c>
      <c r="E15" s="73">
        <f>+'EST CONT RESUM'!E9</f>
        <v>7598</v>
      </c>
      <c r="F15" s="20"/>
    </row>
    <row r="16" spans="1:6" ht="12.75">
      <c r="A16" s="72" t="s">
        <v>111</v>
      </c>
      <c r="B16" s="73">
        <f>+B14-B15</f>
        <v>4039</v>
      </c>
      <c r="C16" s="73">
        <f>+C14-C15</f>
        <v>4406</v>
      </c>
      <c r="D16" s="73">
        <f>+D14-D15</f>
        <v>5908</v>
      </c>
      <c r="E16" s="73">
        <f>+E14-E15</f>
        <v>7835</v>
      </c>
      <c r="F16" s="20"/>
    </row>
    <row r="17" spans="1:6" ht="12.75">
      <c r="A17" s="72" t="s">
        <v>110</v>
      </c>
      <c r="B17" s="73"/>
      <c r="C17" s="73">
        <f>(B16+C16)/2</f>
        <v>4222.5</v>
      </c>
      <c r="D17" s="73">
        <f>(C16+D16)/2</f>
        <v>5157</v>
      </c>
      <c r="E17" s="73">
        <f>(D16+E16)/2</f>
        <v>6871.5</v>
      </c>
      <c r="F17" s="20"/>
    </row>
    <row r="18" spans="1:6" ht="12.75">
      <c r="A18" s="70" t="s">
        <v>109</v>
      </c>
      <c r="B18" s="120"/>
      <c r="C18" s="120">
        <f>+MARGEN!C6/C17</f>
        <v>4.662877442273535</v>
      </c>
      <c r="D18" s="120">
        <f>+MARGEN!D6/D17</f>
        <v>4.541593949970913</v>
      </c>
      <c r="E18" s="120">
        <f>+MARGEN!E6/E17</f>
        <v>4.139416430182639</v>
      </c>
      <c r="F18" s="50"/>
    </row>
    <row r="19" spans="1:6" ht="12.75">
      <c r="A19" s="72" t="s">
        <v>108</v>
      </c>
      <c r="B19" s="73">
        <f>+'EST PATRIM'!B14</f>
        <v>4756</v>
      </c>
      <c r="C19" s="73">
        <f>+'EST PATRIM'!C14</f>
        <v>6225</v>
      </c>
      <c r="D19" s="73">
        <f>+'EST PATRIM'!D14</f>
        <v>8154</v>
      </c>
      <c r="E19" s="73">
        <f>+'EST PATRIM'!E14</f>
        <v>10949</v>
      </c>
      <c r="F19" s="20"/>
    </row>
    <row r="20" spans="1:6" ht="12.75">
      <c r="A20" s="72" t="s">
        <v>75</v>
      </c>
      <c r="B20" s="73">
        <f>+'EST CONT RESUM'!B10</f>
        <v>0</v>
      </c>
      <c r="C20" s="73">
        <f>+'EST CONT RESUM'!C10</f>
        <v>0</v>
      </c>
      <c r="D20" s="73">
        <f>+'EST CONT RESUM'!D10</f>
        <v>0</v>
      </c>
      <c r="E20" s="73">
        <f>+'EST CONT RESUM'!E10</f>
        <v>0</v>
      </c>
      <c r="F20" s="20"/>
    </row>
    <row r="21" spans="1:6" ht="12.75">
      <c r="A21" s="72" t="s">
        <v>107</v>
      </c>
      <c r="B21" s="73">
        <f>+B19-B20</f>
        <v>4756</v>
      </c>
      <c r="C21" s="73">
        <f>+C19-C20</f>
        <v>6225</v>
      </c>
      <c r="D21" s="73">
        <f>+D19-D20</f>
        <v>8154</v>
      </c>
      <c r="E21" s="73">
        <f>+E19-E20</f>
        <v>10949</v>
      </c>
      <c r="F21" s="20"/>
    </row>
    <row r="22" spans="1:6" ht="12.75">
      <c r="A22" s="72" t="s">
        <v>106</v>
      </c>
      <c r="B22" s="73"/>
      <c r="C22" s="73">
        <f>(B21+C21)/2</f>
        <v>5490.5</v>
      </c>
      <c r="D22" s="73">
        <f>(C21+D21)/2</f>
        <v>7189.5</v>
      </c>
      <c r="E22" s="73">
        <f>(D21+E21)/2</f>
        <v>9551.5</v>
      </c>
      <c r="F22" s="20"/>
    </row>
    <row r="23" spans="1:6" ht="12.75">
      <c r="A23" s="70" t="s">
        <v>105</v>
      </c>
      <c r="B23" s="116"/>
      <c r="C23" s="116">
        <f>+MARGEN!C6/C22</f>
        <v>3.586012202895911</v>
      </c>
      <c r="D23" s="116">
        <f>+MARGEN!D6/D22</f>
        <v>3.2576674316711873</v>
      </c>
      <c r="E23" s="116">
        <f>+MARGEN!E6/E22</f>
        <v>2.9779615767156993</v>
      </c>
      <c r="F23" s="47"/>
    </row>
    <row r="24" spans="1:6" ht="12.75">
      <c r="A24" s="72" t="s">
        <v>104</v>
      </c>
      <c r="B24" s="121"/>
      <c r="C24" s="121">
        <f>1/C18</f>
        <v>0.21445985067804355</v>
      </c>
      <c r="D24" s="121">
        <f>1/D18</f>
        <v>0.22018701165620597</v>
      </c>
      <c r="E24" s="121">
        <f>1/E18</f>
        <v>0.241579946561665</v>
      </c>
      <c r="F24" s="51"/>
    </row>
    <row r="25" spans="1:6" ht="12.75">
      <c r="A25" s="72" t="s">
        <v>103</v>
      </c>
      <c r="B25" s="121"/>
      <c r="C25" s="121">
        <f>1/C23</f>
        <v>0.2788612931078267</v>
      </c>
      <c r="D25" s="121">
        <f>1/D23</f>
        <v>0.3069681055463046</v>
      </c>
      <c r="E25" s="121">
        <f>1/E23</f>
        <v>0.33580016875263674</v>
      </c>
      <c r="F25" s="51"/>
    </row>
    <row r="26" spans="1:6" ht="12.75">
      <c r="A26" s="75" t="s">
        <v>102</v>
      </c>
      <c r="B26" s="122"/>
      <c r="C26" s="122">
        <f>+C24+C25</f>
        <v>0.4933211437858702</v>
      </c>
      <c r="D26" s="122">
        <f>+D24+D25</f>
        <v>0.5271551172025106</v>
      </c>
      <c r="E26" s="122">
        <f>+E24+E25</f>
        <v>0.5773801153143018</v>
      </c>
      <c r="F26" s="52"/>
    </row>
  </sheetData>
  <sheetProtection sheet="1" objects="1" scenarios="1"/>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11.421875" defaultRowHeight="12.75"/>
  <cols>
    <col min="1" max="1" width="35.7109375" style="16" customWidth="1"/>
    <col min="2" max="6" width="8.7109375" style="16" customWidth="1"/>
    <col min="7" max="16384" width="11.421875" style="16" customWidth="1"/>
  </cols>
  <sheetData>
    <row r="1" spans="1:5" ht="12.75">
      <c r="A1" s="152" t="str">
        <f>+VENTAS!A1</f>
        <v>AFIC - Ejercicio de Aplicación 2</v>
      </c>
      <c r="B1" s="42"/>
      <c r="C1" s="42"/>
      <c r="D1" s="42"/>
      <c r="E1" s="42"/>
    </row>
    <row r="2" spans="1:5" ht="12.75">
      <c r="A2" s="152" t="str">
        <f>+VENTAS!A2</f>
        <v>BODEGAS ESMERALDA</v>
      </c>
      <c r="B2" s="42"/>
      <c r="C2" s="42"/>
      <c r="D2" s="42"/>
      <c r="E2" s="42"/>
    </row>
    <row r="3" spans="1:6" ht="12.75">
      <c r="A3" s="42"/>
      <c r="B3" s="42"/>
      <c r="C3" s="42"/>
      <c r="D3" s="42"/>
      <c r="E3" s="42"/>
      <c r="F3" s="25" t="s">
        <v>252</v>
      </c>
    </row>
    <row r="4" spans="1:6" ht="12.75">
      <c r="A4" s="68" t="s">
        <v>135</v>
      </c>
      <c r="B4" s="69"/>
      <c r="C4" s="69"/>
      <c r="D4" s="69"/>
      <c r="E4" s="69"/>
      <c r="F4" s="17"/>
    </row>
    <row r="5" spans="1:6" ht="12.75">
      <c r="A5" s="89"/>
      <c r="B5" s="71">
        <v>1996</v>
      </c>
      <c r="C5" s="71">
        <v>1997</v>
      </c>
      <c r="D5" s="71">
        <v>1998</v>
      </c>
      <c r="E5" s="71">
        <v>1999</v>
      </c>
      <c r="F5" s="18">
        <v>2000</v>
      </c>
    </row>
    <row r="6" spans="1:6" ht="12.75">
      <c r="A6" s="89" t="s">
        <v>134</v>
      </c>
      <c r="B6" s="107"/>
      <c r="C6" s="107">
        <f>+MARGEN!C8/ROTACION!C10</f>
        <v>0.1681097498198291</v>
      </c>
      <c r="D6" s="107">
        <f>+MARGEN!D8/ROTACION!D10</f>
        <v>0.09091240432511238</v>
      </c>
      <c r="E6" s="107">
        <f>+MARGEN!E8/ROTACION!E10</f>
        <v>0.221594714729343</v>
      </c>
      <c r="F6" s="34"/>
    </row>
    <row r="7" spans="1:6" ht="12.75">
      <c r="A7" s="72" t="s">
        <v>133</v>
      </c>
      <c r="B7" s="103">
        <f>+MARGEN!B10</f>
        <v>0.1834180548400023</v>
      </c>
      <c r="C7" s="103">
        <f>+MARGEN!C10</f>
        <v>0.08293209406267459</v>
      </c>
      <c r="D7" s="103">
        <f>+MARGEN!D10</f>
        <v>0.04792493915716665</v>
      </c>
      <c r="E7" s="103">
        <f>+MARGEN!E10</f>
        <v>0.12794438194346786</v>
      </c>
      <c r="F7" s="31"/>
    </row>
    <row r="8" spans="1:6" ht="12.75">
      <c r="A8" s="75" t="s">
        <v>132</v>
      </c>
      <c r="B8" s="111">
        <f>+ROTACION!B11</f>
        <v>0</v>
      </c>
      <c r="C8" s="123">
        <f>+ROTACION!C11</f>
        <v>2.027077113147328</v>
      </c>
      <c r="D8" s="123">
        <f>+ROTACION!D11</f>
        <v>1.896974851172397</v>
      </c>
      <c r="E8" s="123">
        <f>+ROTACION!E11</f>
        <v>1.7319612738232966</v>
      </c>
      <c r="F8" s="53"/>
    </row>
    <row r="9" spans="1:6" ht="12.75">
      <c r="A9" s="124" t="s">
        <v>131</v>
      </c>
      <c r="B9" s="125">
        <f>+MARGEN!B10*ROTACION!B11</f>
        <v>0</v>
      </c>
      <c r="C9" s="125">
        <f>+MARGEN!C10*ROTACION!C11</f>
        <v>0.16810974981982907</v>
      </c>
      <c r="D9" s="125">
        <f>+MARGEN!D10*ROTACION!D11</f>
        <v>0.09091240432511238</v>
      </c>
      <c r="E9" s="126">
        <f>+MARGEN!E10*ROTACION!E11</f>
        <v>0.22159471472934297</v>
      </c>
      <c r="F9" s="54"/>
    </row>
    <row r="10" spans="1:6" ht="12.75">
      <c r="A10" s="108"/>
      <c r="B10" s="127"/>
      <c r="C10" s="127"/>
      <c r="D10" s="127"/>
      <c r="E10" s="127"/>
      <c r="F10" s="17"/>
    </row>
    <row r="11" spans="1:6" ht="12.75">
      <c r="A11" s="68" t="s">
        <v>130</v>
      </c>
      <c r="B11" s="69"/>
      <c r="C11" s="69"/>
      <c r="D11" s="69"/>
      <c r="E11" s="69"/>
      <c r="F11" s="17"/>
    </row>
    <row r="12" spans="1:6" ht="12.75">
      <c r="A12" s="115"/>
      <c r="B12" s="71">
        <v>1996</v>
      </c>
      <c r="C12" s="71">
        <v>1997</v>
      </c>
      <c r="D12" s="71">
        <v>1998</v>
      </c>
      <c r="E12" s="71">
        <v>1999</v>
      </c>
      <c r="F12" s="18">
        <v>2000</v>
      </c>
    </row>
    <row r="13" spans="1:6" ht="12.75">
      <c r="A13" s="72" t="s">
        <v>61</v>
      </c>
      <c r="B13" s="100">
        <f>+'EST RES REORD'!B20</f>
        <v>3178</v>
      </c>
      <c r="C13" s="100">
        <f>+'EST RES REORD'!C20</f>
        <v>1596</v>
      </c>
      <c r="D13" s="100">
        <f>+'EST RES REORD'!D20</f>
        <v>1032</v>
      </c>
      <c r="E13" s="100">
        <f>+'EST RES REORD'!E20</f>
        <v>3454</v>
      </c>
      <c r="F13" s="29"/>
    </row>
    <row r="14" spans="1:6" ht="12.75">
      <c r="A14" s="72" t="s">
        <v>72</v>
      </c>
      <c r="B14" s="73">
        <f>+'EST PATRIM'!B24</f>
        <v>8795</v>
      </c>
      <c r="C14" s="73">
        <f>+'EST PATRIM'!C24</f>
        <v>10631</v>
      </c>
      <c r="D14" s="73">
        <f>+'EST PATRIM'!D24</f>
        <v>12395</v>
      </c>
      <c r="E14" s="73">
        <f>+'EST PATRIM'!E24</f>
        <v>15014</v>
      </c>
      <c r="F14" s="20"/>
    </row>
    <row r="15" spans="1:6" ht="12.75">
      <c r="A15" s="72" t="s">
        <v>129</v>
      </c>
      <c r="B15" s="73"/>
      <c r="C15" s="73">
        <f>(B14+C14)/2</f>
        <v>9713</v>
      </c>
      <c r="D15" s="73">
        <f>(C14+D14)/2</f>
        <v>11513</v>
      </c>
      <c r="E15" s="73">
        <f>(D14+E14)/2</f>
        <v>13704.5</v>
      </c>
      <c r="F15" s="20"/>
    </row>
    <row r="16" spans="1:6" ht="12.75">
      <c r="A16" s="70" t="s">
        <v>289</v>
      </c>
      <c r="B16" s="105"/>
      <c r="C16" s="105">
        <f>+C13/C15</f>
        <v>0.16431586533511788</v>
      </c>
      <c r="D16" s="105">
        <f>+D13/D15</f>
        <v>0.08963780074698167</v>
      </c>
      <c r="E16" s="105">
        <f>+E13/E15</f>
        <v>0.2520340034295305</v>
      </c>
      <c r="F16" s="33"/>
    </row>
    <row r="17" spans="1:6" ht="12.75">
      <c r="A17" s="158" t="s">
        <v>285</v>
      </c>
      <c r="B17" s="159">
        <f>+'EST RES REORD'!B22</f>
        <v>-38</v>
      </c>
      <c r="C17" s="159">
        <f>+'EST RES REORD'!C22</f>
        <v>240</v>
      </c>
      <c r="D17" s="159">
        <f>+'EST RES REORD'!D22</f>
        <v>732</v>
      </c>
      <c r="E17" s="159">
        <f>+'EST RES REORD'!E22</f>
        <v>-835</v>
      </c>
      <c r="F17" s="159"/>
    </row>
    <row r="18" spans="1:6" ht="12.75">
      <c r="A18" s="155" t="s">
        <v>287</v>
      </c>
      <c r="B18" s="160"/>
      <c r="C18" s="160">
        <f>+C17/C15</f>
        <v>0.024709152681972615</v>
      </c>
      <c r="D18" s="160">
        <f>+D17/D15</f>
        <v>0.06358030052983583</v>
      </c>
      <c r="E18" s="160">
        <f>+E17/E15</f>
        <v>-0.06092889196979095</v>
      </c>
      <c r="F18" s="160"/>
    </row>
    <row r="19" spans="1:6" ht="12.75">
      <c r="A19" s="155" t="s">
        <v>288</v>
      </c>
      <c r="B19" s="160"/>
      <c r="C19" s="160">
        <f>+C16+C18</f>
        <v>0.18902501801709048</v>
      </c>
      <c r="D19" s="160">
        <f>+D16+D18</f>
        <v>0.1532181012768175</v>
      </c>
      <c r="E19" s="160">
        <f>+E16+E18</f>
        <v>0.19110511145973952</v>
      </c>
      <c r="F19" s="160"/>
    </row>
    <row r="20" spans="1:6" ht="12.75">
      <c r="A20" s="108"/>
      <c r="B20" s="109"/>
      <c r="C20" s="109"/>
      <c r="D20" s="109"/>
      <c r="E20" s="109"/>
      <c r="F20" s="36"/>
    </row>
    <row r="21" spans="1:6" ht="12.75">
      <c r="A21" s="70"/>
      <c r="B21" s="71">
        <v>1996</v>
      </c>
      <c r="C21" s="71">
        <v>1997</v>
      </c>
      <c r="D21" s="71">
        <v>1998</v>
      </c>
      <c r="E21" s="71">
        <v>1999</v>
      </c>
      <c r="F21" s="18">
        <v>2000</v>
      </c>
    </row>
    <row r="22" spans="1:6" ht="12.75">
      <c r="A22" s="72" t="s">
        <v>73</v>
      </c>
      <c r="B22" s="73">
        <f>+'EST PATRIM'!B18</f>
        <v>0</v>
      </c>
      <c r="C22" s="73">
        <f>+'EST PATRIM'!C18</f>
        <v>0</v>
      </c>
      <c r="D22" s="73">
        <f>+'EST PATRIM'!D18</f>
        <v>1667</v>
      </c>
      <c r="E22" s="73">
        <f>+'EST PATRIM'!E18</f>
        <v>3770</v>
      </c>
      <c r="F22" s="20"/>
    </row>
    <row r="23" spans="1:6" ht="12.75">
      <c r="A23" s="72" t="s">
        <v>128</v>
      </c>
      <c r="B23" s="73"/>
      <c r="C23" s="73">
        <f>(B22+C22)/2</f>
        <v>0</v>
      </c>
      <c r="D23" s="73">
        <f>(C22+D22)/2</f>
        <v>833.5</v>
      </c>
      <c r="E23" s="73">
        <f>(D22+E22)/2</f>
        <v>2718.5</v>
      </c>
      <c r="F23" s="20"/>
    </row>
    <row r="24" spans="1:6" ht="12.75">
      <c r="A24" s="72" t="s">
        <v>123</v>
      </c>
      <c r="B24" s="73"/>
      <c r="C24" s="73"/>
      <c r="D24" s="113">
        <f>+D23/D15</f>
        <v>0.07239642143663684</v>
      </c>
      <c r="E24" s="113">
        <f>+E23/E15</f>
        <v>0.19836550038308584</v>
      </c>
      <c r="F24" s="39"/>
    </row>
    <row r="25" spans="1:6" ht="12.75">
      <c r="A25" s="75" t="s">
        <v>62</v>
      </c>
      <c r="B25" s="101">
        <f>-'EST RES REORD'!B19</f>
        <v>26.13</v>
      </c>
      <c r="C25" s="101">
        <f>-'EST RES REORD'!C19</f>
        <v>36.849999999999994</v>
      </c>
      <c r="D25" s="101">
        <f>-'EST RES REORD'!D19</f>
        <v>90.44999999999999</v>
      </c>
      <c r="E25" s="101">
        <f>-'EST RES REORD'!E19</f>
        <v>185.25</v>
      </c>
      <c r="F25" s="30"/>
    </row>
    <row r="26" spans="1:6" ht="12.75">
      <c r="A26" s="75" t="s">
        <v>127</v>
      </c>
      <c r="B26" s="75"/>
      <c r="C26" s="75"/>
      <c r="D26" s="104">
        <f>+D25/D23</f>
        <v>0.10851829634073185</v>
      </c>
      <c r="E26" s="104">
        <f>+E25/E23</f>
        <v>0.06814419716755564</v>
      </c>
      <c r="F26" s="32"/>
    </row>
    <row r="27" spans="1:6" ht="12.75">
      <c r="A27" s="69"/>
      <c r="B27" s="69"/>
      <c r="C27" s="69"/>
      <c r="D27" s="127"/>
      <c r="E27" s="127"/>
      <c r="F27" s="55"/>
    </row>
    <row r="28" spans="1:6" ht="12.75">
      <c r="A28" s="70"/>
      <c r="B28" s="71"/>
      <c r="C28" s="71">
        <v>1997</v>
      </c>
      <c r="D28" s="71">
        <v>1998</v>
      </c>
      <c r="E28" s="71">
        <v>1999</v>
      </c>
      <c r="F28" s="18">
        <v>2000</v>
      </c>
    </row>
    <row r="29" spans="1:6" ht="12.75">
      <c r="A29" s="70" t="s">
        <v>126</v>
      </c>
      <c r="B29" s="70"/>
      <c r="C29" s="128">
        <f>+C6</f>
        <v>0.1681097498198291</v>
      </c>
      <c r="D29" s="128">
        <f>+D6</f>
        <v>0.09091240432511238</v>
      </c>
      <c r="E29" s="128">
        <f>+E6</f>
        <v>0.221594714729343</v>
      </c>
      <c r="F29" s="56"/>
    </row>
    <row r="30" spans="1:6" ht="12.75">
      <c r="A30" s="72" t="s">
        <v>125</v>
      </c>
      <c r="B30" s="72"/>
      <c r="C30" s="103">
        <f>+C26</f>
        <v>0</v>
      </c>
      <c r="D30" s="103">
        <f>+D26</f>
        <v>0.10851829634073185</v>
      </c>
      <c r="E30" s="103">
        <f>+E26</f>
        <v>0.06814419716755564</v>
      </c>
      <c r="F30" s="31"/>
    </row>
    <row r="31" spans="1:6" ht="12.75">
      <c r="A31" s="72" t="s">
        <v>124</v>
      </c>
      <c r="B31" s="72"/>
      <c r="C31" s="129">
        <f>+C29-C30</f>
        <v>0.1681097498198291</v>
      </c>
      <c r="D31" s="129">
        <f>+D29-D30</f>
        <v>-0.017605892015619462</v>
      </c>
      <c r="E31" s="129">
        <f>+E29-E30</f>
        <v>0.15345051756178735</v>
      </c>
      <c r="F31" s="57"/>
    </row>
    <row r="32" spans="1:6" ht="12.75">
      <c r="A32" s="75" t="s">
        <v>123</v>
      </c>
      <c r="B32" s="75"/>
      <c r="C32" s="101">
        <f>+C24</f>
        <v>0</v>
      </c>
      <c r="D32" s="114">
        <f>+D24</f>
        <v>0.07239642143663684</v>
      </c>
      <c r="E32" s="114">
        <f>+E24</f>
        <v>0.19836550038308584</v>
      </c>
      <c r="F32" s="40"/>
    </row>
    <row r="33" spans="1:6" ht="12.75">
      <c r="A33" s="72" t="s">
        <v>122</v>
      </c>
      <c r="B33" s="72"/>
      <c r="C33" s="103">
        <f>+C31*C32</f>
        <v>0</v>
      </c>
      <c r="D33" s="103">
        <f>+D31*D32</f>
        <v>-0.0012746035781307063</v>
      </c>
      <c r="E33" s="103">
        <f>+E31*E32</f>
        <v>0.030439288700187448</v>
      </c>
      <c r="F33" s="31"/>
    </row>
    <row r="34" spans="1:6" ht="12.75">
      <c r="A34" s="75" t="s">
        <v>289</v>
      </c>
      <c r="B34" s="75"/>
      <c r="C34" s="104">
        <f>+C29+C33</f>
        <v>0.1681097498198291</v>
      </c>
      <c r="D34" s="104">
        <f>+D29+D33</f>
        <v>0.08963780074698167</v>
      </c>
      <c r="E34" s="104">
        <f>+E29+E33</f>
        <v>0.2520340034295305</v>
      </c>
      <c r="F34" s="32"/>
    </row>
  </sheetData>
  <sheetProtection sheet="1" objects="1" scenarios="1"/>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A1:B15"/>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152" t="str">
        <f>+VENTAS!A1</f>
        <v>AFIC - Ejercicio de Aplicación 2</v>
      </c>
    </row>
    <row r="2" ht="12.75">
      <c r="A2" s="152" t="str">
        <f>+VENTAS!A2</f>
        <v>BODEGAS ESMERALDA</v>
      </c>
    </row>
    <row r="3" ht="12.75">
      <c r="B3" s="151" t="s">
        <v>278</v>
      </c>
    </row>
    <row r="4" ht="25.5">
      <c r="B4" s="12" t="s">
        <v>264</v>
      </c>
    </row>
    <row r="5" ht="13.5" thickBot="1"/>
    <row r="6" spans="1:2" ht="24.75" thickBot="1">
      <c r="A6" s="13" t="s">
        <v>253</v>
      </c>
      <c r="B6" s="14"/>
    </row>
    <row r="7" spans="1:2" ht="12.75">
      <c r="A7" s="11"/>
      <c r="B7" s="15"/>
    </row>
    <row r="8" ht="25.5">
      <c r="B8" s="12" t="s">
        <v>266</v>
      </c>
    </row>
    <row r="9" ht="25.5">
      <c r="B9" s="12" t="s">
        <v>265</v>
      </c>
    </row>
    <row r="10" ht="13.5" thickBot="1"/>
    <row r="11" spans="1:2" ht="24.75" thickBot="1">
      <c r="A11" s="13" t="s">
        <v>253</v>
      </c>
      <c r="B11" s="14"/>
    </row>
    <row r="13" ht="25.5">
      <c r="B13" s="12" t="s">
        <v>267</v>
      </c>
    </row>
    <row r="14" ht="13.5" thickBot="1"/>
    <row r="15" spans="1:2" ht="24.75" thickBot="1">
      <c r="A15" s="13" t="s">
        <v>253</v>
      </c>
      <c r="B15" s="14"/>
    </row>
  </sheetData>
  <sheetProtection sheet="1" objects="1" scenarios="1"/>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11.421875" defaultRowHeight="12.75"/>
  <cols>
    <col min="1" max="1" width="35.7109375" style="16" customWidth="1"/>
    <col min="2" max="6" width="8.7109375" style="16" customWidth="1"/>
    <col min="7" max="16384" width="11.421875" style="16" customWidth="1"/>
  </cols>
  <sheetData>
    <row r="1" spans="1:6" ht="12.75">
      <c r="A1" s="152" t="str">
        <f>+VENTAS!A1</f>
        <v>AFIC - Ejercicio de Aplicación 2</v>
      </c>
      <c r="B1" s="42"/>
      <c r="C1" s="42"/>
      <c r="D1" s="42"/>
      <c r="E1" s="42"/>
      <c r="F1" s="42"/>
    </row>
    <row r="2" spans="1:6" ht="12.75">
      <c r="A2" s="152" t="str">
        <f>+VENTAS!A2</f>
        <v>BODEGAS ESMERALDA</v>
      </c>
      <c r="B2" s="42"/>
      <c r="C2" s="42"/>
      <c r="D2" s="42"/>
      <c r="E2" s="42"/>
      <c r="F2" s="42"/>
    </row>
    <row r="3" spans="1:6" ht="12.75">
      <c r="A3" s="42"/>
      <c r="B3" s="42"/>
      <c r="C3" s="42"/>
      <c r="D3" s="42"/>
      <c r="E3" s="42"/>
      <c r="F3" s="42"/>
    </row>
    <row r="4" spans="1:6" ht="12.75">
      <c r="A4" s="77" t="s">
        <v>152</v>
      </c>
      <c r="B4" s="69"/>
      <c r="C4" s="69"/>
      <c r="D4" s="69"/>
      <c r="E4" s="69"/>
      <c r="F4" s="69"/>
    </row>
    <row r="5" spans="1:6" ht="12.75">
      <c r="A5" s="93"/>
      <c r="B5" s="130">
        <v>1996</v>
      </c>
      <c r="C5" s="130">
        <v>1997</v>
      </c>
      <c r="D5" s="130">
        <v>1998</v>
      </c>
      <c r="E5" s="130">
        <v>1999</v>
      </c>
      <c r="F5" s="130">
        <v>2000</v>
      </c>
    </row>
    <row r="6" spans="1:6" ht="12.75">
      <c r="A6" s="83" t="s">
        <v>151</v>
      </c>
      <c r="B6" s="90">
        <f>SUM(B7:B10)</f>
        <v>1389</v>
      </c>
      <c r="C6" s="90">
        <f>SUM(C7:C10)</f>
        <v>1664</v>
      </c>
      <c r="D6" s="90">
        <f>SUM(D7:D10)</f>
        <v>2083</v>
      </c>
      <c r="E6" s="90">
        <f>SUM(E7:E10)</f>
        <v>2661</v>
      </c>
      <c r="F6" s="90">
        <f>SUM(F7:F10)</f>
        <v>3318</v>
      </c>
    </row>
    <row r="7" spans="1:6" ht="12.75">
      <c r="A7" s="72" t="s">
        <v>143</v>
      </c>
      <c r="B7" s="73">
        <v>571</v>
      </c>
      <c r="C7" s="73">
        <f>512+105</f>
        <v>617</v>
      </c>
      <c r="D7" s="73">
        <f>620+126</f>
        <v>746</v>
      </c>
      <c r="E7" s="73">
        <f>554+111</f>
        <v>665</v>
      </c>
      <c r="F7" s="73">
        <f>752+154</f>
        <v>906</v>
      </c>
    </row>
    <row r="8" spans="1:6" ht="12.75">
      <c r="A8" s="72" t="s">
        <v>150</v>
      </c>
      <c r="B8" s="73">
        <v>170</v>
      </c>
      <c r="C8" s="73">
        <v>195</v>
      </c>
      <c r="D8" s="73">
        <v>233</v>
      </c>
      <c r="E8" s="73">
        <v>339</v>
      </c>
      <c r="F8" s="73">
        <v>454</v>
      </c>
    </row>
    <row r="9" spans="1:6" ht="12.75">
      <c r="A9" s="72" t="s">
        <v>141</v>
      </c>
      <c r="B9" s="73">
        <f>248+59</f>
        <v>307</v>
      </c>
      <c r="C9" s="73">
        <f>415+28</f>
        <v>443</v>
      </c>
      <c r="D9" s="73">
        <f>590+16</f>
        <v>606</v>
      </c>
      <c r="E9" s="73">
        <v>987</v>
      </c>
      <c r="F9" s="73">
        <v>1345</v>
      </c>
    </row>
    <row r="10" spans="1:6" ht="12.75">
      <c r="A10" s="72" t="s">
        <v>149</v>
      </c>
      <c r="B10" s="73">
        <v>341</v>
      </c>
      <c r="C10" s="73">
        <v>409</v>
      </c>
      <c r="D10" s="73">
        <v>498</v>
      </c>
      <c r="E10" s="73">
        <v>670</v>
      </c>
      <c r="F10" s="73">
        <v>613</v>
      </c>
    </row>
    <row r="11" spans="1:6" ht="12.75">
      <c r="A11" s="93" t="s">
        <v>42</v>
      </c>
      <c r="B11" s="84">
        <f>SUM(B12:B18)</f>
        <v>4942</v>
      </c>
      <c r="C11" s="84">
        <f>SUM(C12:C18)</f>
        <v>5775</v>
      </c>
      <c r="D11" s="84">
        <f>SUM(D12:D18)</f>
        <v>7167</v>
      </c>
      <c r="E11" s="84">
        <f>SUM(E12:E18)</f>
        <v>8031</v>
      </c>
      <c r="F11" s="84">
        <f>SUM(F12:F18)</f>
        <v>8834</v>
      </c>
    </row>
    <row r="12" spans="1:6" ht="12.75">
      <c r="A12" s="72" t="s">
        <v>143</v>
      </c>
      <c r="B12" s="73">
        <v>845</v>
      </c>
      <c r="C12" s="73">
        <f>870+130</f>
        <v>1000</v>
      </c>
      <c r="D12" s="73">
        <f>944+161</f>
        <v>1105</v>
      </c>
      <c r="E12" s="73">
        <f>1091+127</f>
        <v>1218</v>
      </c>
      <c r="F12" s="73">
        <f>986+194</f>
        <v>1180</v>
      </c>
    </row>
    <row r="13" spans="1:6" ht="12.75">
      <c r="A13" s="72" t="s">
        <v>148</v>
      </c>
      <c r="B13" s="73">
        <f>-'EST RESULT'!B9-B12-B14-B17-B18-B16-B15</f>
        <v>2077</v>
      </c>
      <c r="C13" s="73">
        <f>-'EST RESULT'!C9-C12-C14-C17-C18-C16-C15</f>
        <v>2151</v>
      </c>
      <c r="D13" s="73">
        <f>-'EST RESULT'!D9-D12-D14-D17-D18-D16-D15</f>
        <v>2890</v>
      </c>
      <c r="E13" s="73">
        <f>-'EST RESULT'!E9-E12-E14-E17-E18-E16-E15</f>
        <v>3232</v>
      </c>
      <c r="F13" s="73">
        <f>-'EST RESULT'!F9-F12-F14-F17-F18-F16-F15</f>
        <v>2991</v>
      </c>
    </row>
    <row r="14" spans="1:6" ht="12.75">
      <c r="A14" s="72" t="s">
        <v>147</v>
      </c>
      <c r="B14" s="73">
        <v>659</v>
      </c>
      <c r="C14" s="73">
        <v>761</v>
      </c>
      <c r="D14" s="73">
        <v>1047</v>
      </c>
      <c r="E14" s="73">
        <v>1131</v>
      </c>
      <c r="F14" s="73">
        <v>1184</v>
      </c>
    </row>
    <row r="15" spans="1:6" ht="12.75">
      <c r="A15" s="72" t="s">
        <v>146</v>
      </c>
      <c r="B15" s="73">
        <v>265</v>
      </c>
      <c r="C15" s="73">
        <v>333</v>
      </c>
      <c r="D15" s="73">
        <v>407</v>
      </c>
      <c r="E15" s="73">
        <v>473</v>
      </c>
      <c r="F15" s="73">
        <v>586</v>
      </c>
    </row>
    <row r="16" spans="1:6" ht="12.75">
      <c r="A16" s="72" t="s">
        <v>145</v>
      </c>
      <c r="B16" s="73">
        <v>423</v>
      </c>
      <c r="C16" s="73">
        <v>812</v>
      </c>
      <c r="D16" s="73">
        <v>948</v>
      </c>
      <c r="E16" s="73">
        <v>1321</v>
      </c>
      <c r="F16" s="73">
        <v>1679</v>
      </c>
    </row>
    <row r="17" spans="1:6" ht="12.75">
      <c r="A17" s="72" t="s">
        <v>141</v>
      </c>
      <c r="B17" s="73">
        <v>21</v>
      </c>
      <c r="C17" s="73">
        <v>19</v>
      </c>
      <c r="D17" s="73">
        <v>33</v>
      </c>
      <c r="E17" s="73">
        <v>25</v>
      </c>
      <c r="F17" s="73">
        <v>24</v>
      </c>
    </row>
    <row r="18" spans="1:6" ht="12.75">
      <c r="A18" s="75" t="s">
        <v>144</v>
      </c>
      <c r="B18" s="76">
        <v>652</v>
      </c>
      <c r="C18" s="76">
        <v>699</v>
      </c>
      <c r="D18" s="76">
        <v>737</v>
      </c>
      <c r="E18" s="73">
        <v>631</v>
      </c>
      <c r="F18" s="73">
        <v>1190</v>
      </c>
    </row>
    <row r="19" spans="1:6" ht="12.75">
      <c r="A19" s="83" t="s">
        <v>41</v>
      </c>
      <c r="B19" s="84">
        <f>SUM(B20:B22)</f>
        <v>768</v>
      </c>
      <c r="C19" s="84">
        <f>SUM(C20:C22)</f>
        <v>746</v>
      </c>
      <c r="D19" s="84">
        <f>SUM(D20:D22)</f>
        <v>841</v>
      </c>
      <c r="E19" s="84">
        <f>SUM(E20:E22)</f>
        <v>763</v>
      </c>
      <c r="F19" s="84">
        <f>SUM(F20:F22)</f>
        <v>827</v>
      </c>
    </row>
    <row r="20" spans="1:6" ht="12.75">
      <c r="A20" s="72" t="s">
        <v>143</v>
      </c>
      <c r="B20" s="73">
        <v>420</v>
      </c>
      <c r="C20" s="73">
        <f>298+90</f>
        <v>388</v>
      </c>
      <c r="D20" s="73">
        <f>326+95</f>
        <v>421</v>
      </c>
      <c r="E20" s="73">
        <f>328+92</f>
        <v>420</v>
      </c>
      <c r="F20" s="73">
        <f>353+95</f>
        <v>448</v>
      </c>
    </row>
    <row r="21" spans="1:6" ht="12.75">
      <c r="A21" s="72" t="s">
        <v>142</v>
      </c>
      <c r="B21" s="73">
        <f>-'EST RESULT'!B10-B20-B22</f>
        <v>340</v>
      </c>
      <c r="C21" s="73">
        <f>-'EST RESULT'!C10-C20-C22</f>
        <v>346</v>
      </c>
      <c r="D21" s="73">
        <f>-'EST RESULT'!D10-D20-D22</f>
        <v>398</v>
      </c>
      <c r="E21" s="73">
        <f>-'EST RESULT'!E10-E20-E22</f>
        <v>327</v>
      </c>
      <c r="F21" s="73">
        <f>-'EST RESULT'!F10-F20-F22</f>
        <v>363</v>
      </c>
    </row>
    <row r="22" spans="1:6" ht="12.75">
      <c r="A22" s="75" t="s">
        <v>141</v>
      </c>
      <c r="B22" s="76">
        <v>8</v>
      </c>
      <c r="C22" s="76">
        <v>12</v>
      </c>
      <c r="D22" s="76">
        <v>22</v>
      </c>
      <c r="E22" s="76">
        <v>16</v>
      </c>
      <c r="F22" s="76">
        <v>16</v>
      </c>
    </row>
    <row r="23" spans="1:6" ht="12.75">
      <c r="A23" s="69"/>
      <c r="B23" s="69"/>
      <c r="C23" s="131"/>
      <c r="D23" s="131"/>
      <c r="E23" s="131"/>
      <c r="F23" s="131"/>
    </row>
    <row r="24" spans="1:6" ht="12.75">
      <c r="A24" s="35"/>
      <c r="B24" s="58"/>
      <c r="C24" s="58"/>
      <c r="D24" s="58"/>
      <c r="E24" s="58"/>
      <c r="F24" s="58"/>
    </row>
  </sheetData>
  <sheetProtection sheet="1" objects="1" scenarios="1"/>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E41"/>
  <sheetViews>
    <sheetView workbookViewId="0" topLeftCell="A1">
      <selection activeCell="A1" sqref="A1"/>
    </sheetView>
  </sheetViews>
  <sheetFormatPr defaultColWidth="11.421875" defaultRowHeight="12.75"/>
  <cols>
    <col min="1" max="1" width="35.7109375" style="16" customWidth="1"/>
    <col min="2" max="5" width="8.7109375" style="16" customWidth="1"/>
    <col min="6" max="16384" width="11.421875" style="16" customWidth="1"/>
  </cols>
  <sheetData>
    <row r="1" spans="1:5" ht="12.75">
      <c r="A1" s="152" t="str">
        <f>+VENTAS!A1</f>
        <v>AFIC - Ejercicio de Aplicación 2</v>
      </c>
      <c r="B1" s="42"/>
      <c r="C1" s="42"/>
      <c r="D1" s="42"/>
      <c r="E1" s="42"/>
    </row>
    <row r="2" spans="1:5" ht="12.75">
      <c r="A2" s="152" t="str">
        <f>+VENTAS!A2</f>
        <v>BODEGAS ESMERALDA</v>
      </c>
      <c r="B2" s="42"/>
      <c r="C2" s="42"/>
      <c r="D2" s="42"/>
      <c r="E2" s="42"/>
    </row>
    <row r="3" spans="1:5" ht="12.75">
      <c r="A3" s="41"/>
      <c r="B3" s="42"/>
      <c r="C3" s="42"/>
      <c r="D3" s="42"/>
      <c r="E3" s="42"/>
    </row>
    <row r="4" spans="1:5" ht="12.75">
      <c r="A4" s="69"/>
      <c r="B4" s="130">
        <v>1997</v>
      </c>
      <c r="C4" s="130">
        <v>1998</v>
      </c>
      <c r="D4" s="130">
        <v>1999</v>
      </c>
      <c r="E4" s="130">
        <v>2000</v>
      </c>
    </row>
    <row r="5" spans="1:5" ht="12.75">
      <c r="A5" s="89" t="s">
        <v>139</v>
      </c>
      <c r="B5" s="89"/>
      <c r="C5" s="89"/>
      <c r="D5" s="89"/>
      <c r="E5" s="89"/>
    </row>
    <row r="6" spans="1:5" ht="12.75">
      <c r="A6" s="72" t="s">
        <v>138</v>
      </c>
      <c r="B6" s="99">
        <v>0.83</v>
      </c>
      <c r="C6" s="99">
        <v>0.84</v>
      </c>
      <c r="D6" s="99">
        <v>0.83</v>
      </c>
      <c r="E6" s="99">
        <v>0.82</v>
      </c>
    </row>
    <row r="7" spans="1:5" ht="12.75">
      <c r="A7" s="72" t="s">
        <v>137</v>
      </c>
      <c r="B7" s="99">
        <v>0.04</v>
      </c>
      <c r="C7" s="99">
        <v>0.04</v>
      </c>
      <c r="D7" s="99">
        <v>0.04</v>
      </c>
      <c r="E7" s="99">
        <v>0.04</v>
      </c>
    </row>
    <row r="8" spans="1:5" ht="12.75">
      <c r="A8" s="75" t="s">
        <v>136</v>
      </c>
      <c r="B8" s="132">
        <v>0.4</v>
      </c>
      <c r="C8" s="132">
        <v>0.4</v>
      </c>
      <c r="D8" s="132">
        <v>0.43</v>
      </c>
      <c r="E8" s="132">
        <v>0.43</v>
      </c>
    </row>
    <row r="9" spans="1:5" ht="12.75">
      <c r="A9" s="41"/>
      <c r="B9" s="42"/>
      <c r="C9" s="42"/>
      <c r="D9" s="42"/>
      <c r="E9" s="42"/>
    </row>
    <row r="10" spans="1:5" ht="12.75">
      <c r="A10" s="42"/>
      <c r="B10" s="42"/>
      <c r="C10" s="42"/>
      <c r="D10" s="42"/>
      <c r="E10" s="133" t="s">
        <v>252</v>
      </c>
    </row>
    <row r="11" spans="1:5" ht="12.75">
      <c r="A11" s="68" t="s">
        <v>170</v>
      </c>
      <c r="B11" s="69"/>
      <c r="C11" s="69"/>
      <c r="D11" s="69"/>
      <c r="E11" s="69"/>
    </row>
    <row r="12" spans="1:5" ht="12.75">
      <c r="A12" s="70"/>
      <c r="B12" s="71">
        <v>1997</v>
      </c>
      <c r="C12" s="71">
        <v>1998</v>
      </c>
      <c r="D12" s="71">
        <v>1999</v>
      </c>
      <c r="E12" s="71">
        <v>2000</v>
      </c>
    </row>
    <row r="13" spans="1:5" ht="12.75">
      <c r="A13" s="134" t="s">
        <v>159</v>
      </c>
      <c r="B13" s="72"/>
      <c r="C13" s="72"/>
      <c r="D13" s="72"/>
      <c r="E13" s="19"/>
    </row>
    <row r="14" spans="1:5" ht="12.75">
      <c r="A14" s="72" t="s">
        <v>167</v>
      </c>
      <c r="B14" s="72"/>
      <c r="C14" s="72"/>
      <c r="D14" s="72"/>
      <c r="E14" s="19"/>
    </row>
    <row r="15" spans="1:5" ht="12.75">
      <c r="A15" s="72" t="s">
        <v>169</v>
      </c>
      <c r="B15" s="73">
        <f>-'EST RESULT'!C7*'MARGEN CONTRIB'!B6</f>
        <v>8944.08</v>
      </c>
      <c r="C15" s="73">
        <f>-'EST RESULT'!D7*'MARGEN CONTRIB'!C6</f>
        <v>11239.199999999999</v>
      </c>
      <c r="D15" s="73">
        <f>-'EST RESULT'!E7*'MARGEN CONTRIB'!D6</f>
        <v>12362.019999999999</v>
      </c>
      <c r="E15" s="20"/>
    </row>
    <row r="16" spans="1:5" ht="12.75">
      <c r="A16" s="72" t="s">
        <v>137</v>
      </c>
      <c r="B16" s="73">
        <f>-'EST RESULT'!C7*'MARGEN CONTRIB'!B7</f>
        <v>431.04</v>
      </c>
      <c r="C16" s="73">
        <f>-'EST RESULT'!D7*'MARGEN CONTRIB'!C7</f>
        <v>535.2</v>
      </c>
      <c r="D16" s="73">
        <f>-'EST RESULT'!E7*'MARGEN CONTRIB'!D7</f>
        <v>595.76</v>
      </c>
      <c r="E16" s="20"/>
    </row>
    <row r="17" spans="1:5" ht="12.75">
      <c r="A17" s="72" t="s">
        <v>166</v>
      </c>
      <c r="B17" s="76">
        <f>-'EST RESULT'!C9*'MARGEN CONTRIB'!B8</f>
        <v>2310</v>
      </c>
      <c r="C17" s="76">
        <f>-'EST RESULT'!D9*'MARGEN CONTRIB'!C8</f>
        <v>2866.8</v>
      </c>
      <c r="D17" s="76">
        <f>-'EST RESULT'!E9*'MARGEN CONTRIB'!D8</f>
        <v>3453.33</v>
      </c>
      <c r="E17" s="21"/>
    </row>
    <row r="18" spans="1:5" ht="12.75">
      <c r="A18" s="75" t="s">
        <v>168</v>
      </c>
      <c r="B18" s="76">
        <f>SUM(B15:B17)</f>
        <v>11685.12</v>
      </c>
      <c r="C18" s="76">
        <f>SUM(C15:C17)</f>
        <v>14641.2</v>
      </c>
      <c r="D18" s="76">
        <f>SUM(D15:D17)</f>
        <v>16411.11</v>
      </c>
      <c r="E18" s="21"/>
    </row>
    <row r="19" spans="1:5" ht="12.75">
      <c r="A19" s="134" t="s">
        <v>155</v>
      </c>
      <c r="B19" s="73"/>
      <c r="C19" s="73"/>
      <c r="D19" s="73"/>
      <c r="E19" s="20"/>
    </row>
    <row r="20" spans="1:5" ht="12.75">
      <c r="A20" s="72" t="s">
        <v>167</v>
      </c>
      <c r="B20" s="73">
        <f>-'EST RES REORD'!C7-'MARGEN CONTRIB'!B15-'MARGEN CONTRIB'!B16</f>
        <v>1400.88</v>
      </c>
      <c r="C20" s="73">
        <f>-'EST RES REORD'!D7-'MARGEN CONTRIB'!C15-'MARGEN CONTRIB'!C16</f>
        <v>1605.600000000001</v>
      </c>
      <c r="D20" s="73">
        <f>-'EST RES REORD'!E7-'MARGEN CONTRIB'!D15-'MARGEN CONTRIB'!D16</f>
        <v>1936.2200000000014</v>
      </c>
      <c r="E20" s="20"/>
    </row>
    <row r="21" spans="1:5" ht="12.75">
      <c r="A21" s="72" t="s">
        <v>166</v>
      </c>
      <c r="B21" s="73">
        <f>+COSTOS!C11-'MARGEN CONTRIB'!B17</f>
        <v>3465</v>
      </c>
      <c r="C21" s="73">
        <f>+COSTOS!D11-'MARGEN CONTRIB'!C17</f>
        <v>4300.2</v>
      </c>
      <c r="D21" s="73">
        <f>+COSTOS!E11-'MARGEN CONTRIB'!D17</f>
        <v>4577.67</v>
      </c>
      <c r="E21" s="20"/>
    </row>
    <row r="22" spans="1:5" ht="12.75">
      <c r="A22" s="72" t="s">
        <v>165</v>
      </c>
      <c r="B22" s="76">
        <f>+COSTOS!C19</f>
        <v>746</v>
      </c>
      <c r="C22" s="76">
        <f>+COSTOS!D19</f>
        <v>841</v>
      </c>
      <c r="D22" s="76">
        <f>+COSTOS!E19</f>
        <v>763</v>
      </c>
      <c r="E22" s="21"/>
    </row>
    <row r="23" spans="1:5" ht="12.75">
      <c r="A23" s="75" t="s">
        <v>164</v>
      </c>
      <c r="B23" s="76">
        <f>SUM(B20:B22)</f>
        <v>5611.88</v>
      </c>
      <c r="C23" s="76">
        <f>SUM(C20:C22)</f>
        <v>6746.800000000001</v>
      </c>
      <c r="D23" s="76">
        <f>SUM(D20:D22)</f>
        <v>7276.890000000001</v>
      </c>
      <c r="E23" s="21"/>
    </row>
    <row r="24" spans="1:5" ht="12.75">
      <c r="A24" s="108"/>
      <c r="B24" s="69"/>
      <c r="C24" s="69"/>
      <c r="D24" s="69"/>
      <c r="E24" s="17"/>
    </row>
    <row r="25" spans="1:5" ht="12.75">
      <c r="A25" s="77" t="s">
        <v>163</v>
      </c>
      <c r="B25" s="69"/>
      <c r="C25" s="69"/>
      <c r="D25" s="69"/>
      <c r="E25" s="17"/>
    </row>
    <row r="26" spans="1:5" ht="12.75">
      <c r="A26" s="70"/>
      <c r="B26" s="71">
        <v>1997</v>
      </c>
      <c r="C26" s="71">
        <v>1998</v>
      </c>
      <c r="D26" s="71">
        <v>1999</v>
      </c>
      <c r="E26" s="71">
        <v>2000</v>
      </c>
    </row>
    <row r="27" spans="1:5" ht="12.75">
      <c r="A27" s="134" t="s">
        <v>162</v>
      </c>
      <c r="B27" s="72"/>
      <c r="C27" s="72"/>
      <c r="D27" s="72"/>
      <c r="E27" s="72"/>
    </row>
    <row r="28" spans="1:5" ht="12.75">
      <c r="A28" s="72" t="s">
        <v>66</v>
      </c>
      <c r="B28" s="73">
        <f>-'EST RES REORD'!C15</f>
        <v>836.15</v>
      </c>
      <c r="C28" s="73">
        <f>-'EST RES REORD'!D15</f>
        <v>944.55</v>
      </c>
      <c r="D28" s="73">
        <f>-'EST RES REORD'!E15</f>
        <v>1267.75</v>
      </c>
      <c r="E28" s="73">
        <v>1709</v>
      </c>
    </row>
    <row r="29" spans="1:5" ht="12.75">
      <c r="A29" s="72" t="s">
        <v>67</v>
      </c>
      <c r="B29" s="73">
        <f>+'EST RES REORD'!C14</f>
        <v>2469</v>
      </c>
      <c r="C29" s="73">
        <f>+'EST RES REORD'!D14</f>
        <v>2067</v>
      </c>
      <c r="D29" s="73">
        <f>+'EST RES REORD'!E14</f>
        <v>4907</v>
      </c>
      <c r="E29" s="73">
        <v>6024</v>
      </c>
    </row>
    <row r="30" spans="1:5" ht="12.75">
      <c r="A30" s="75" t="s">
        <v>161</v>
      </c>
      <c r="B30" s="104">
        <f>+B28/B29</f>
        <v>0.3386593762656946</v>
      </c>
      <c r="C30" s="104">
        <f>+C28/C29</f>
        <v>0.456966618287373</v>
      </c>
      <c r="D30" s="104">
        <f>+D28/D29</f>
        <v>0.25835541063786427</v>
      </c>
      <c r="E30" s="104">
        <v>0.2838</v>
      </c>
    </row>
    <row r="31" spans="1:5" ht="12.75">
      <c r="A31" s="115" t="s">
        <v>160</v>
      </c>
      <c r="B31" s="72"/>
      <c r="C31" s="72"/>
      <c r="D31" s="72"/>
      <c r="E31" s="72"/>
    </row>
    <row r="32" spans="1:5" ht="12.75">
      <c r="A32" s="72" t="s">
        <v>45</v>
      </c>
      <c r="B32" s="73">
        <f>+'EST RES REORD'!C6</f>
        <v>19689</v>
      </c>
      <c r="C32" s="73">
        <f>+'EST RES REORD'!D6</f>
        <v>23421</v>
      </c>
      <c r="D32" s="73">
        <f>+'EST RES REORD'!E6</f>
        <v>28444</v>
      </c>
      <c r="E32" s="73">
        <v>33504</v>
      </c>
    </row>
    <row r="33" spans="1:5" ht="12.75">
      <c r="A33" s="72" t="s">
        <v>159</v>
      </c>
      <c r="B33" s="73">
        <f>-B18</f>
        <v>-11685.12</v>
      </c>
      <c r="C33" s="73">
        <f>-C18</f>
        <v>-14641.2</v>
      </c>
      <c r="D33" s="73">
        <f>-D18</f>
        <v>-16411.11</v>
      </c>
      <c r="E33" s="73">
        <v>-19108</v>
      </c>
    </row>
    <row r="34" spans="1:5" ht="12.75">
      <c r="A34" s="72" t="s">
        <v>158</v>
      </c>
      <c r="B34" s="73">
        <f>+'EST RES REORD'!C12+'EST RES REORD'!C13</f>
        <v>100</v>
      </c>
      <c r="C34" s="73">
        <f>+'EST RES REORD'!D12+'EST RES REORD'!D13</f>
        <v>24</v>
      </c>
      <c r="D34" s="73">
        <f>+'EST RES REORD'!E12+'EST RES REORD'!E13</f>
        <v>-42</v>
      </c>
      <c r="E34" s="73">
        <v>2</v>
      </c>
    </row>
    <row r="35" spans="1:5" ht="12.75">
      <c r="A35" s="72" t="s">
        <v>157</v>
      </c>
      <c r="B35" s="73">
        <f>SUM(B32:B34)</f>
        <v>8103.879999999999</v>
      </c>
      <c r="C35" s="73">
        <f>SUM(C32:C34)</f>
        <v>8803.8</v>
      </c>
      <c r="D35" s="73">
        <f>SUM(D32:D34)</f>
        <v>11990.89</v>
      </c>
      <c r="E35" s="73">
        <f>SUM(E32:E34)</f>
        <v>14398</v>
      </c>
    </row>
    <row r="36" spans="1:5" ht="12.75">
      <c r="A36" s="80" t="s">
        <v>156</v>
      </c>
      <c r="B36" s="73">
        <f>+B35*(1-B30)</f>
        <v>5359.425053867962</v>
      </c>
      <c r="C36" s="73">
        <f>+C35*(1-C30)</f>
        <v>4780.757285921624</v>
      </c>
      <c r="D36" s="73">
        <f>+D35*(1-D30)</f>
        <v>8892.978690136539</v>
      </c>
      <c r="E36" s="73">
        <f>+E35*(1-E30)</f>
        <v>10311.8476</v>
      </c>
    </row>
    <row r="37" spans="1:5" ht="12.75">
      <c r="A37" s="72" t="s">
        <v>155</v>
      </c>
      <c r="B37" s="73">
        <f>-B23</f>
        <v>-5611.88</v>
      </c>
      <c r="C37" s="73">
        <f>-C23</f>
        <v>-6746.800000000001</v>
      </c>
      <c r="D37" s="73">
        <f>-D23</f>
        <v>-7276.890000000001</v>
      </c>
      <c r="E37" s="73">
        <v>-8355.1</v>
      </c>
    </row>
    <row r="38" spans="1:5" ht="12.75">
      <c r="A38" s="72" t="s">
        <v>40</v>
      </c>
      <c r="B38" s="73">
        <f>+'EST RES REORD'!C11</f>
        <v>-23</v>
      </c>
      <c r="C38" s="73">
        <f>+'EST RES REORD'!D11</f>
        <v>10</v>
      </c>
      <c r="D38" s="73">
        <f>+'EST RES REORD'!E11</f>
        <v>193</v>
      </c>
      <c r="E38" s="73">
        <v>65</v>
      </c>
    </row>
    <row r="39" spans="1:5" ht="12.75">
      <c r="A39" s="72" t="s">
        <v>154</v>
      </c>
      <c r="B39" s="73">
        <f>SUM(B37:B38)</f>
        <v>-5634.88</v>
      </c>
      <c r="C39" s="73">
        <f>SUM(C37:C38)</f>
        <v>-6736.800000000001</v>
      </c>
      <c r="D39" s="73">
        <f>SUM(D37:D38)</f>
        <v>-7083.890000000001</v>
      </c>
      <c r="E39" s="73">
        <f>SUM(E37:E38)</f>
        <v>-8290.1</v>
      </c>
    </row>
    <row r="40" spans="1:5" ht="12.75">
      <c r="A40" s="80" t="s">
        <v>153</v>
      </c>
      <c r="B40" s="73">
        <f>+B39*(1-B30)</f>
        <v>-3726.5750538679627</v>
      </c>
      <c r="C40" s="73">
        <f>+C39*(1-C30)</f>
        <v>-3658.307285921626</v>
      </c>
      <c r="D40" s="73">
        <f>+D39*(1-D30)</f>
        <v>-5253.7286901365405</v>
      </c>
      <c r="E40" s="73">
        <f>+E39*(1-E30)</f>
        <v>-5937.3696199999995</v>
      </c>
    </row>
    <row r="41" spans="1:5" ht="12.75">
      <c r="A41" s="75" t="s">
        <v>65</v>
      </c>
      <c r="B41" s="76">
        <f>+B36+B40</f>
        <v>1632.849999999999</v>
      </c>
      <c r="C41" s="76">
        <f>+C36+C40</f>
        <v>1122.4499999999985</v>
      </c>
      <c r="D41" s="76">
        <f>+D36+D40</f>
        <v>3639.249999999998</v>
      </c>
      <c r="E41" s="76">
        <f>+E36+E40</f>
        <v>4374.47798</v>
      </c>
    </row>
  </sheetData>
  <sheetProtection sheet="1" objects="1" scenarios="1"/>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11.421875" defaultRowHeight="12.75"/>
  <cols>
    <col min="1" max="1" width="35.7109375" style="16" customWidth="1"/>
    <col min="2" max="5" width="8.7109375" style="16" customWidth="1"/>
    <col min="6" max="16384" width="11.421875" style="16" customWidth="1"/>
  </cols>
  <sheetData>
    <row r="1" spans="1:4" ht="12.75">
      <c r="A1" s="152" t="str">
        <f>+VENTAS!A1</f>
        <v>AFIC - Ejercicio de Aplicación 2</v>
      </c>
      <c r="B1" s="42"/>
      <c r="C1" s="42"/>
      <c r="D1" s="42"/>
    </row>
    <row r="2" spans="1:4" ht="12.75">
      <c r="A2" s="152" t="str">
        <f>+VENTAS!A2</f>
        <v>BODEGAS ESMERALDA</v>
      </c>
      <c r="B2" s="42"/>
      <c r="C2" s="42"/>
      <c r="D2" s="42"/>
    </row>
    <row r="3" spans="1:5" ht="12.75">
      <c r="A3" s="42"/>
      <c r="B3" s="42"/>
      <c r="C3" s="42"/>
      <c r="D3" s="42"/>
      <c r="E3" s="25" t="s">
        <v>252</v>
      </c>
    </row>
    <row r="4" spans="1:5" ht="12.75">
      <c r="A4" s="70"/>
      <c r="B4" s="71">
        <v>1997</v>
      </c>
      <c r="C4" s="71">
        <v>1998</v>
      </c>
      <c r="D4" s="71">
        <v>1999</v>
      </c>
      <c r="E4" s="18">
        <v>2000</v>
      </c>
    </row>
    <row r="5" spans="1:5" ht="12.75">
      <c r="A5" s="134" t="s">
        <v>188</v>
      </c>
      <c r="B5" s="72"/>
      <c r="C5" s="72"/>
      <c r="D5" s="72"/>
      <c r="E5" s="19"/>
    </row>
    <row r="6" spans="1:5" ht="12.75">
      <c r="A6" s="72" t="s">
        <v>174</v>
      </c>
      <c r="B6" s="100">
        <f>+'MARGEN CONTRIB'!B36</f>
        <v>5359.425053867962</v>
      </c>
      <c r="C6" s="100">
        <f>+'MARGEN CONTRIB'!C36</f>
        <v>4780.757285921624</v>
      </c>
      <c r="D6" s="100">
        <f>+'MARGEN CONTRIB'!D36</f>
        <v>8892.978690136539</v>
      </c>
      <c r="E6" s="29"/>
    </row>
    <row r="7" spans="1:5" ht="12.75">
      <c r="A7" s="72" t="s">
        <v>65</v>
      </c>
      <c r="B7" s="100">
        <f>+'MARGEN CONTRIB'!B41</f>
        <v>1632.849999999999</v>
      </c>
      <c r="C7" s="100">
        <f>+'MARGEN CONTRIB'!C41</f>
        <v>1122.4499999999985</v>
      </c>
      <c r="D7" s="100">
        <f>+'MARGEN CONTRIB'!D41</f>
        <v>3639.249999999998</v>
      </c>
      <c r="E7" s="29"/>
    </row>
    <row r="8" spans="1:5" ht="12.75">
      <c r="A8" s="70" t="s">
        <v>187</v>
      </c>
      <c r="B8" s="118">
        <f>+B6/B7</f>
        <v>3.282251923855813</v>
      </c>
      <c r="C8" s="118">
        <f>+C6/C7</f>
        <v>4.259216255442675</v>
      </c>
      <c r="D8" s="118">
        <f>+D6/D7</f>
        <v>2.443629508864888</v>
      </c>
      <c r="E8" s="48"/>
    </row>
    <row r="9" spans="1:5" ht="12.75">
      <c r="A9" s="135" t="s">
        <v>262</v>
      </c>
      <c r="B9" s="99">
        <v>0.1</v>
      </c>
      <c r="C9" s="99">
        <f>+B9</f>
        <v>0.1</v>
      </c>
      <c r="D9" s="99">
        <f>+C9</f>
        <v>0.1</v>
      </c>
      <c r="E9" s="27">
        <f>+D9</f>
        <v>0.1</v>
      </c>
    </row>
    <row r="10" spans="1:5" ht="12.75">
      <c r="A10" s="136" t="s">
        <v>186</v>
      </c>
      <c r="B10" s="132">
        <f>+B9*B8</f>
        <v>0.32822519238558134</v>
      </c>
      <c r="C10" s="132">
        <f>+C9*C8</f>
        <v>0.42592162554426755</v>
      </c>
      <c r="D10" s="132">
        <f>+D9*D8</f>
        <v>0.24436295088648882</v>
      </c>
      <c r="E10" s="59"/>
    </row>
    <row r="11" spans="1:5" ht="12.75">
      <c r="A11" s="134" t="s">
        <v>185</v>
      </c>
      <c r="B11" s="72"/>
      <c r="C11" s="72"/>
      <c r="D11" s="72"/>
      <c r="E11" s="19"/>
    </row>
    <row r="12" spans="1:5" ht="12.75">
      <c r="A12" s="72" t="s">
        <v>65</v>
      </c>
      <c r="B12" s="100">
        <f>+'MARGEN CONTRIB'!B41</f>
        <v>1632.849999999999</v>
      </c>
      <c r="C12" s="100">
        <f>+'MARGEN CONTRIB'!C41</f>
        <v>1122.4499999999985</v>
      </c>
      <c r="D12" s="100">
        <f>+'MARGEN CONTRIB'!D41</f>
        <v>3639.249999999998</v>
      </c>
      <c r="E12" s="29"/>
    </row>
    <row r="13" spans="1:5" ht="12.75">
      <c r="A13" s="72" t="s">
        <v>61</v>
      </c>
      <c r="B13" s="73">
        <f>+'EST RES REORD'!C20</f>
        <v>1596</v>
      </c>
      <c r="C13" s="73">
        <f>+'EST RES REORD'!D20</f>
        <v>1032</v>
      </c>
      <c r="D13" s="73">
        <f>+'EST RES REORD'!E20</f>
        <v>3454</v>
      </c>
      <c r="E13" s="20"/>
    </row>
    <row r="14" spans="1:5" ht="12.75">
      <c r="A14" s="70" t="s">
        <v>184</v>
      </c>
      <c r="B14" s="120">
        <f>+B12/B13</f>
        <v>1.023088972431077</v>
      </c>
      <c r="C14" s="120">
        <f>+C12/C13</f>
        <v>1.0876453488372078</v>
      </c>
      <c r="D14" s="120">
        <f>+D12/D13</f>
        <v>1.0536334684423851</v>
      </c>
      <c r="E14" s="50"/>
    </row>
    <row r="15" spans="1:5" ht="12.75">
      <c r="A15" s="135" t="s">
        <v>263</v>
      </c>
      <c r="B15" s="137">
        <v>0.1</v>
      </c>
      <c r="C15" s="137">
        <f>+B15</f>
        <v>0.1</v>
      </c>
      <c r="D15" s="137">
        <f>+C15</f>
        <v>0.1</v>
      </c>
      <c r="E15" s="60">
        <f>+D15</f>
        <v>0.1</v>
      </c>
    </row>
    <row r="16" spans="1:5" ht="12.75">
      <c r="A16" s="136" t="s">
        <v>181</v>
      </c>
      <c r="B16" s="138">
        <f>+B15*B14</f>
        <v>0.10230889724310771</v>
      </c>
      <c r="C16" s="138">
        <f>+C15*C14</f>
        <v>0.10876453488372079</v>
      </c>
      <c r="D16" s="138">
        <f>+D15*D14</f>
        <v>0.10536334684423852</v>
      </c>
      <c r="E16" s="61"/>
    </row>
    <row r="17" spans="1:5" ht="12.75">
      <c r="A17" s="134" t="s">
        <v>183</v>
      </c>
      <c r="B17" s="72"/>
      <c r="C17" s="72"/>
      <c r="D17" s="72"/>
      <c r="E17" s="19"/>
    </row>
    <row r="18" spans="1:5" ht="12.75">
      <c r="A18" s="75" t="s">
        <v>182</v>
      </c>
      <c r="B18" s="122">
        <f>+B8*B14</f>
        <v>3.3580357480375693</v>
      </c>
      <c r="C18" s="122">
        <f>+C8*C14</f>
        <v>4.632516749924054</v>
      </c>
      <c r="D18" s="122">
        <f>+D8*D14</f>
        <v>2.574689835013474</v>
      </c>
      <c r="E18" s="52"/>
    </row>
    <row r="19" spans="1:5" ht="12.75">
      <c r="A19" s="135" t="s">
        <v>262</v>
      </c>
      <c r="B19" s="99">
        <v>0.1</v>
      </c>
      <c r="C19" s="99">
        <f>+B19</f>
        <v>0.1</v>
      </c>
      <c r="D19" s="99">
        <f>+C19</f>
        <v>0.1</v>
      </c>
      <c r="E19" s="27">
        <f>+D19</f>
        <v>0.1</v>
      </c>
    </row>
    <row r="20" spans="1:5" ht="12.75">
      <c r="A20" s="136" t="s">
        <v>181</v>
      </c>
      <c r="B20" s="132">
        <f>+B19*B18</f>
        <v>0.33580357480375694</v>
      </c>
      <c r="C20" s="132">
        <f>+C19*C18</f>
        <v>0.46325167499240544</v>
      </c>
      <c r="D20" s="132">
        <f>+D19*D18</f>
        <v>0.25746898350134745</v>
      </c>
      <c r="E20" s="59"/>
    </row>
    <row r="21" spans="1:5" ht="12.75">
      <c r="A21" s="134" t="s">
        <v>180</v>
      </c>
      <c r="B21" s="72"/>
      <c r="C21" s="72"/>
      <c r="D21" s="72"/>
      <c r="E21" s="19"/>
    </row>
    <row r="22" spans="1:5" ht="12.75">
      <c r="A22" s="72" t="s">
        <v>121</v>
      </c>
      <c r="B22" s="103">
        <f>+RENDIMIENTO!C16</f>
        <v>0.16431586533511788</v>
      </c>
      <c r="C22" s="103">
        <f>+RENDIMIENTO!D16</f>
        <v>0.08963780074698167</v>
      </c>
      <c r="D22" s="103">
        <f>+RENDIMIENTO!E16</f>
        <v>0.2520340034295305</v>
      </c>
      <c r="E22" s="31"/>
    </row>
    <row r="23" spans="1:5" ht="12.75">
      <c r="A23" s="75" t="s">
        <v>179</v>
      </c>
      <c r="B23" s="104">
        <f>+RENDIMIENTO!C29</f>
        <v>0.1681097498198291</v>
      </c>
      <c r="C23" s="104">
        <f>+RENDIMIENTO!D29</f>
        <v>0.09091240432511238</v>
      </c>
      <c r="D23" s="104">
        <f>+RENDIMIENTO!E29</f>
        <v>0.221594714729343</v>
      </c>
      <c r="E23" s="32"/>
    </row>
    <row r="24" spans="1:5" ht="12.75">
      <c r="A24" s="75" t="s">
        <v>178</v>
      </c>
      <c r="B24" s="114">
        <f>+B22/B23</f>
        <v>0.9774320972532689</v>
      </c>
      <c r="C24" s="114">
        <f>+C22/C23</f>
        <v>0.9859798716402595</v>
      </c>
      <c r="D24" s="114">
        <f>+D22/D23</f>
        <v>1.1373646873183152</v>
      </c>
      <c r="E24" s="40"/>
    </row>
    <row r="25" spans="1:5" ht="12.75">
      <c r="A25" s="17"/>
      <c r="B25" s="17"/>
      <c r="C25" s="17"/>
      <c r="D25" s="17"/>
      <c r="E25" s="17"/>
    </row>
  </sheetData>
  <sheetProtection sheet="1" objects="1" scenarios="1"/>
  <printOptions/>
  <pageMargins left="0.75" right="0.75" top="1" bottom="1" header="0" footer="0"/>
  <pageSetup orientation="portrait" paperSize="9"/>
</worksheet>
</file>

<file path=xl/worksheets/sheet18.xml><?xml version="1.0" encoding="utf-8"?>
<worksheet xmlns="http://schemas.openxmlformats.org/spreadsheetml/2006/main" xmlns:r="http://schemas.openxmlformats.org/officeDocument/2006/relationships">
  <dimension ref="A1:B13"/>
  <sheetViews>
    <sheetView workbookViewId="0" topLeftCell="A1">
      <selection activeCell="A1" sqref="A1"/>
    </sheetView>
  </sheetViews>
  <sheetFormatPr defaultColWidth="11.421875" defaultRowHeight="12.75"/>
  <cols>
    <col min="1" max="1" width="47.7109375" style="16" customWidth="1"/>
    <col min="2" max="16384" width="11.421875" style="16" customWidth="1"/>
  </cols>
  <sheetData>
    <row r="1" ht="12.75">
      <c r="A1" s="152" t="str">
        <f>+VENTAS!A1</f>
        <v>AFIC - Ejercicio de Aplicación 2</v>
      </c>
    </row>
    <row r="2" ht="12.75">
      <c r="A2" s="152" t="str">
        <f>+VENTAS!A2</f>
        <v>BODEGAS ESMERALDA</v>
      </c>
    </row>
    <row r="3" spans="1:2" ht="12.75">
      <c r="A3" s="42"/>
      <c r="B3" s="25" t="s">
        <v>252</v>
      </c>
    </row>
    <row r="4" ht="12.75">
      <c r="A4" s="68" t="s">
        <v>268</v>
      </c>
    </row>
    <row r="5" spans="1:2" ht="12.75">
      <c r="A5" s="89" t="s">
        <v>177</v>
      </c>
      <c r="B5" s="62">
        <v>0.08</v>
      </c>
    </row>
    <row r="6" spans="1:2" ht="12.75">
      <c r="A6" s="72" t="s">
        <v>176</v>
      </c>
      <c r="B6" s="48"/>
    </row>
    <row r="7" spans="1:2" ht="12.75">
      <c r="A7" s="80" t="s">
        <v>175</v>
      </c>
      <c r="B7" s="33"/>
    </row>
    <row r="8" spans="1:2" ht="12.75">
      <c r="A8" s="94" t="s">
        <v>173</v>
      </c>
      <c r="B8" s="63"/>
    </row>
    <row r="9" ht="12.75">
      <c r="A9" s="42"/>
    </row>
    <row r="10" spans="1:2" ht="12.75">
      <c r="A10" s="89" t="s">
        <v>269</v>
      </c>
      <c r="B10" s="62"/>
    </row>
    <row r="11" spans="1:2" ht="12.75">
      <c r="A11" s="72" t="s">
        <v>172</v>
      </c>
      <c r="B11" s="48"/>
    </row>
    <row r="12" spans="1:2" ht="12.75">
      <c r="A12" s="80" t="s">
        <v>270</v>
      </c>
      <c r="B12" s="33"/>
    </row>
    <row r="13" spans="1:2" ht="12.75">
      <c r="A13" s="94" t="s">
        <v>171</v>
      </c>
      <c r="B13" s="63"/>
    </row>
  </sheetData>
  <sheetProtection sheet="1" objects="1" scenarios="1"/>
  <printOptions/>
  <pageMargins left="0.75" right="0.75" top="1" bottom="1" header="0" footer="0"/>
  <pageSetup orientation="portrait" paperSize="9"/>
</worksheet>
</file>

<file path=xl/worksheets/sheet19.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152" t="str">
        <f>+VENTAS!A1</f>
        <v>AFIC - Ejercicio de Aplicación 2</v>
      </c>
    </row>
    <row r="2" ht="12.75">
      <c r="A2" s="152" t="str">
        <f>+VENTAS!A2</f>
        <v>BODEGAS ESMERALDA</v>
      </c>
    </row>
    <row r="3" ht="12.75">
      <c r="B3" s="151" t="s">
        <v>279</v>
      </c>
    </row>
    <row r="4" ht="25.5">
      <c r="B4" s="12" t="s">
        <v>271</v>
      </c>
    </row>
    <row r="5" ht="13.5" thickBot="1"/>
    <row r="6" spans="1:2" ht="24.75" thickBot="1">
      <c r="A6" s="13" t="s">
        <v>253</v>
      </c>
      <c r="B6" s="14"/>
    </row>
    <row r="7" spans="1:2" ht="12.75">
      <c r="A7" s="11"/>
      <c r="B7" s="15"/>
    </row>
    <row r="8" ht="38.25">
      <c r="B8" s="12" t="s">
        <v>272</v>
      </c>
    </row>
    <row r="9" ht="13.5" thickBot="1"/>
    <row r="10" spans="1:2" ht="24.75" thickBot="1">
      <c r="A10" s="13" t="s">
        <v>253</v>
      </c>
      <c r="B10" s="14"/>
    </row>
  </sheetData>
  <sheetProtection sheet="1" objects="1" scenarios="1"/>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F8"/>
  <sheetViews>
    <sheetView workbookViewId="0" topLeftCell="A1">
      <selection activeCell="A1" sqref="A1"/>
    </sheetView>
  </sheetViews>
  <sheetFormatPr defaultColWidth="11.421875" defaultRowHeight="12.75"/>
  <cols>
    <col min="1" max="1" width="20.7109375" style="16" customWidth="1"/>
    <col min="2" max="6" width="7.7109375" style="16" customWidth="1"/>
    <col min="7" max="16384" width="11.421875" style="16" customWidth="1"/>
  </cols>
  <sheetData>
    <row r="1" spans="1:6" ht="12.75">
      <c r="A1" s="152" t="s">
        <v>6</v>
      </c>
      <c r="B1" s="42"/>
      <c r="C1" s="42"/>
      <c r="D1" s="42"/>
      <c r="E1" s="42"/>
      <c r="F1" s="42"/>
    </row>
    <row r="2" spans="1:6" ht="12.75">
      <c r="A2" s="152" t="s">
        <v>7</v>
      </c>
      <c r="B2" s="42"/>
      <c r="C2" s="42"/>
      <c r="D2" s="42"/>
      <c r="E2" s="42"/>
      <c r="F2" s="42"/>
    </row>
    <row r="3" spans="1:6" ht="12.75">
      <c r="A3" s="42"/>
      <c r="B3" s="42"/>
      <c r="C3" s="42"/>
      <c r="D3" s="42"/>
      <c r="E3" s="42"/>
      <c r="F3" s="42"/>
    </row>
    <row r="4" spans="1:6" ht="12.75">
      <c r="A4" s="68" t="s">
        <v>11</v>
      </c>
      <c r="B4" s="69"/>
      <c r="C4" s="69"/>
      <c r="D4" s="69"/>
      <c r="E4" s="69"/>
      <c r="F4" s="69"/>
    </row>
    <row r="5" spans="1:6" ht="12.75">
      <c r="A5" s="70"/>
      <c r="B5" s="71">
        <v>1996</v>
      </c>
      <c r="C5" s="71">
        <v>1997</v>
      </c>
      <c r="D5" s="71">
        <v>1998</v>
      </c>
      <c r="E5" s="71">
        <v>1999</v>
      </c>
      <c r="F5" s="71">
        <v>2000</v>
      </c>
    </row>
    <row r="6" spans="1:6" ht="12.75">
      <c r="A6" s="72" t="s">
        <v>10</v>
      </c>
      <c r="B6" s="73">
        <v>1254</v>
      </c>
      <c r="C6" s="73">
        <v>1363</v>
      </c>
      <c r="D6" s="73">
        <v>1681</v>
      </c>
      <c r="E6" s="73">
        <v>1744</v>
      </c>
      <c r="F6" s="74">
        <v>2081</v>
      </c>
    </row>
    <row r="7" spans="1:6" ht="12.75">
      <c r="A7" s="72" t="s">
        <v>9</v>
      </c>
      <c r="B7" s="73">
        <v>19</v>
      </c>
      <c r="C7" s="73">
        <v>32</v>
      </c>
      <c r="D7" s="73">
        <v>106</v>
      </c>
      <c r="E7" s="73">
        <v>142</v>
      </c>
      <c r="F7" s="74">
        <v>178</v>
      </c>
    </row>
    <row r="8" spans="1:6" ht="12.75">
      <c r="A8" s="75" t="s">
        <v>8</v>
      </c>
      <c r="B8" s="76">
        <f>SUM(B6:B7)</f>
        <v>1273</v>
      </c>
      <c r="C8" s="76">
        <f>SUM(C6:C7)</f>
        <v>1395</v>
      </c>
      <c r="D8" s="76">
        <f>SUM(D6:D7)</f>
        <v>1787</v>
      </c>
      <c r="E8" s="76">
        <f>SUM(E6:E7)</f>
        <v>1886</v>
      </c>
      <c r="F8" s="76">
        <f>SUM(F6:F7)</f>
        <v>2259</v>
      </c>
    </row>
  </sheetData>
  <sheetProtection sheet="1" objects="1" scenarios="1"/>
  <printOptions/>
  <pageMargins left="0.75" right="0.75" top="1" bottom="1" header="0" footer="0"/>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E27"/>
  <sheetViews>
    <sheetView workbookViewId="0" topLeftCell="A1">
      <selection activeCell="A1" sqref="A1"/>
    </sheetView>
  </sheetViews>
  <sheetFormatPr defaultColWidth="11.421875" defaultRowHeight="12.75"/>
  <cols>
    <col min="1" max="1" width="30.7109375" style="16" customWidth="1"/>
    <col min="2" max="5" width="8.7109375" style="16" customWidth="1"/>
    <col min="6" max="16384" width="11.421875" style="16" customWidth="1"/>
  </cols>
  <sheetData>
    <row r="1" spans="1:4" ht="12.75">
      <c r="A1" s="152" t="str">
        <f>+VENTAS!A1</f>
        <v>AFIC - Ejercicio de Aplicación 2</v>
      </c>
      <c r="B1" s="42"/>
      <c r="C1" s="42"/>
      <c r="D1" s="42"/>
    </row>
    <row r="2" spans="1:4" ht="12.75">
      <c r="A2" s="152" t="str">
        <f>+VENTAS!A2</f>
        <v>BODEGAS ESMERALDA</v>
      </c>
      <c r="B2" s="42"/>
      <c r="C2" s="42"/>
      <c r="D2" s="42"/>
    </row>
    <row r="3" spans="1:5" ht="12.75">
      <c r="A3" s="42"/>
      <c r="B3" s="42"/>
      <c r="C3" s="42"/>
      <c r="D3" s="42"/>
      <c r="E3" s="25" t="s">
        <v>252</v>
      </c>
    </row>
    <row r="4" spans="1:5" ht="12.75">
      <c r="A4" s="68" t="s">
        <v>204</v>
      </c>
      <c r="B4" s="69"/>
      <c r="C4" s="69"/>
      <c r="D4" s="69"/>
      <c r="E4" s="17"/>
    </row>
    <row r="5" spans="1:5" ht="12.75">
      <c r="A5" s="139"/>
      <c r="B5" s="71">
        <v>1997</v>
      </c>
      <c r="C5" s="71">
        <v>1998</v>
      </c>
      <c r="D5" s="71">
        <v>1999</v>
      </c>
      <c r="E5" s="18">
        <v>2000</v>
      </c>
    </row>
    <row r="6" spans="1:5" ht="12.75">
      <c r="A6" s="80" t="s">
        <v>203</v>
      </c>
      <c r="B6" s="72"/>
      <c r="C6" s="72"/>
      <c r="D6" s="72"/>
      <c r="E6" s="19"/>
    </row>
    <row r="7" spans="1:5" ht="12.75">
      <c r="A7" s="72" t="s">
        <v>65</v>
      </c>
      <c r="B7" s="73">
        <f>+'EST RES REORD'!C16</f>
        <v>1632.85</v>
      </c>
      <c r="C7" s="73">
        <f>+'EST RES REORD'!D16</f>
        <v>1122.45</v>
      </c>
      <c r="D7" s="73">
        <f>+'EST RES REORD'!E16</f>
        <v>3639.25</v>
      </c>
      <c r="E7" s="20"/>
    </row>
    <row r="8" spans="1:5" ht="12.75">
      <c r="A8" s="72" t="s">
        <v>285</v>
      </c>
      <c r="B8" s="73">
        <f>+'EST RES REORD'!C22</f>
        <v>240</v>
      </c>
      <c r="C8" s="73">
        <f>+'EST RES REORD'!D22</f>
        <v>732</v>
      </c>
      <c r="D8" s="73">
        <f>+'EST RES REORD'!E22</f>
        <v>-835</v>
      </c>
      <c r="E8" s="20"/>
    </row>
    <row r="9" spans="1:5" ht="12.75">
      <c r="A9" s="72" t="s">
        <v>202</v>
      </c>
      <c r="B9" s="76">
        <f>+'EST CONT RESUM'!B11-'EST CONT RESUM'!C11</f>
        <v>-1836</v>
      </c>
      <c r="C9" s="76">
        <f>+'EST CONT RESUM'!C11-'EST CONT RESUM'!D11</f>
        <v>-3431</v>
      </c>
      <c r="D9" s="76">
        <f>+'EST CONT RESUM'!D11-'EST CONT RESUM'!E11</f>
        <v>-4722</v>
      </c>
      <c r="E9" s="21"/>
    </row>
    <row r="10" spans="1:5" ht="12.75">
      <c r="A10" s="72" t="s">
        <v>189</v>
      </c>
      <c r="B10" s="73">
        <f>SUM(B7:B9)</f>
        <v>36.84999999999991</v>
      </c>
      <c r="C10" s="73">
        <f>SUM(C7:C9)</f>
        <v>-1576.55</v>
      </c>
      <c r="D10" s="73">
        <f>SUM(D7:D9)</f>
        <v>-1917.75</v>
      </c>
      <c r="E10" s="20"/>
    </row>
    <row r="11" spans="1:5" ht="12.75">
      <c r="A11" s="80" t="s">
        <v>201</v>
      </c>
      <c r="B11" s="73"/>
      <c r="C11" s="73"/>
      <c r="D11" s="73"/>
      <c r="E11" s="20"/>
    </row>
    <row r="12" spans="1:5" ht="12.75">
      <c r="A12" s="72" t="s">
        <v>200</v>
      </c>
      <c r="B12" s="73">
        <f>+'EST RES REORD'!C19</f>
        <v>-36.849999999999994</v>
      </c>
      <c r="C12" s="73">
        <f>+'EST RES REORD'!D19</f>
        <v>-90.44999999999999</v>
      </c>
      <c r="D12" s="73">
        <f>+'EST RES REORD'!E19</f>
        <v>-185.25</v>
      </c>
      <c r="E12" s="20"/>
    </row>
    <row r="13" spans="1:5" ht="12.75">
      <c r="A13" s="72" t="s">
        <v>199</v>
      </c>
      <c r="B13" s="76">
        <f>+'EST CONT RESUM'!C12-'EST CONT RESUM'!B12</f>
        <v>0</v>
      </c>
      <c r="C13" s="76">
        <f>+'EST CONT RESUM'!D12-'EST CONT RESUM'!C12</f>
        <v>1667</v>
      </c>
      <c r="D13" s="76">
        <f>+'EST CONT RESUM'!E12-'EST CONT RESUM'!D12</f>
        <v>2103</v>
      </c>
      <c r="E13" s="21"/>
    </row>
    <row r="14" spans="1:5" ht="12.75">
      <c r="A14" s="75" t="s">
        <v>198</v>
      </c>
      <c r="B14" s="76">
        <f>+B12+B13</f>
        <v>-36.849999999999994</v>
      </c>
      <c r="C14" s="76">
        <f>+C12+C13</f>
        <v>1576.55</v>
      </c>
      <c r="D14" s="76">
        <f>+D12+D13</f>
        <v>1917.75</v>
      </c>
      <c r="E14" s="21"/>
    </row>
    <row r="15" spans="1:5" ht="12.75">
      <c r="A15" s="108"/>
      <c r="B15" s="140"/>
      <c r="C15" s="140"/>
      <c r="D15" s="140"/>
      <c r="E15" s="58"/>
    </row>
    <row r="16" spans="1:5" ht="12.75">
      <c r="A16" s="89"/>
      <c r="B16" s="71">
        <v>1997</v>
      </c>
      <c r="C16" s="71">
        <v>1998</v>
      </c>
      <c r="D16" s="71">
        <v>1999</v>
      </c>
      <c r="E16" s="18">
        <v>2000</v>
      </c>
    </row>
    <row r="17" spans="1:5" ht="12.75">
      <c r="A17" s="72" t="s">
        <v>65</v>
      </c>
      <c r="B17" s="73">
        <f aca="true" t="shared" si="0" ref="B17:D18">+B7</f>
        <v>1632.85</v>
      </c>
      <c r="C17" s="73">
        <f t="shared" si="0"/>
        <v>1122.45</v>
      </c>
      <c r="D17" s="73">
        <f t="shared" si="0"/>
        <v>3639.25</v>
      </c>
      <c r="E17" s="20"/>
    </row>
    <row r="18" spans="1:5" ht="12.75">
      <c r="A18" s="72" t="s">
        <v>285</v>
      </c>
      <c r="B18" s="73">
        <f t="shared" si="0"/>
        <v>240</v>
      </c>
      <c r="C18" s="73">
        <f t="shared" si="0"/>
        <v>732</v>
      </c>
      <c r="D18" s="73">
        <f t="shared" si="0"/>
        <v>-835</v>
      </c>
      <c r="E18" s="20"/>
    </row>
    <row r="19" spans="1:5" ht="12.75">
      <c r="A19" s="72" t="s">
        <v>197</v>
      </c>
      <c r="B19" s="73">
        <f>+COSTOS!C9+COSTOS!C17+COSTOS!C22</f>
        <v>474</v>
      </c>
      <c r="C19" s="73">
        <f>+COSTOS!D9+COSTOS!D17+COSTOS!D22</f>
        <v>661</v>
      </c>
      <c r="D19" s="73">
        <f>+COSTOS!E9+COSTOS!E17+COSTOS!E22</f>
        <v>1028</v>
      </c>
      <c r="E19" s="20"/>
    </row>
    <row r="20" spans="1:5" ht="12.75">
      <c r="A20" s="72" t="s">
        <v>196</v>
      </c>
      <c r="B20" s="73">
        <f>+COSTOS!C18</f>
        <v>699</v>
      </c>
      <c r="C20" s="73">
        <f>+COSTOS!D18</f>
        <v>737</v>
      </c>
      <c r="D20" s="73">
        <f>+COSTOS!E18</f>
        <v>631</v>
      </c>
      <c r="E20" s="20"/>
    </row>
    <row r="21" spans="1:5" ht="12.75">
      <c r="A21" s="72" t="s">
        <v>195</v>
      </c>
      <c r="B21" s="141">
        <f>SUM(B17:B20)</f>
        <v>3045.85</v>
      </c>
      <c r="C21" s="141">
        <f>SUM(C17:C20)</f>
        <v>3252.45</v>
      </c>
      <c r="D21" s="141">
        <f>SUM(D17:D20)</f>
        <v>4463.25</v>
      </c>
      <c r="E21" s="64"/>
    </row>
    <row r="22" spans="1:5" ht="12.75">
      <c r="A22" s="72" t="s">
        <v>194</v>
      </c>
      <c r="B22" s="73">
        <f>+ROTACION!B16-ROTACION!C16</f>
        <v>-367</v>
      </c>
      <c r="C22" s="73">
        <f>+ROTACION!C16-ROTACION!D16</f>
        <v>-1502</v>
      </c>
      <c r="D22" s="73">
        <f>+ROTACION!D16-ROTACION!E16</f>
        <v>-1927</v>
      </c>
      <c r="E22" s="20"/>
    </row>
    <row r="23" spans="1:5" ht="12.75">
      <c r="A23" s="80" t="s">
        <v>193</v>
      </c>
      <c r="B23" s="142">
        <f>+B21+B22</f>
        <v>2678.85</v>
      </c>
      <c r="C23" s="142">
        <f>+C21+C22</f>
        <v>1750.4499999999998</v>
      </c>
      <c r="D23" s="142">
        <f>+D21+D22</f>
        <v>2536.25</v>
      </c>
      <c r="E23" s="65"/>
    </row>
    <row r="24" spans="1:5" ht="12.75">
      <c r="A24" s="72" t="s">
        <v>192</v>
      </c>
      <c r="B24" s="73">
        <f>+ROTACION!B21-ROTACION!C21</f>
        <v>-1469</v>
      </c>
      <c r="C24" s="73">
        <f>+ROTACION!C21-ROTACION!D21</f>
        <v>-1929</v>
      </c>
      <c r="D24" s="73">
        <f>+ROTACION!D21-ROTACION!E21</f>
        <v>-2795</v>
      </c>
      <c r="E24" s="20"/>
    </row>
    <row r="25" spans="1:5" ht="12.75">
      <c r="A25" s="72" t="s">
        <v>191</v>
      </c>
      <c r="B25" s="76">
        <f>-B19-B20</f>
        <v>-1173</v>
      </c>
      <c r="C25" s="76">
        <f>-C19-C20</f>
        <v>-1398</v>
      </c>
      <c r="D25" s="76">
        <f>-D19-D20</f>
        <v>-1659</v>
      </c>
      <c r="E25" s="21"/>
    </row>
    <row r="26" spans="1:5" ht="12.75">
      <c r="A26" s="80" t="s">
        <v>190</v>
      </c>
      <c r="B26" s="143">
        <f>+B24+B25</f>
        <v>-2642</v>
      </c>
      <c r="C26" s="143">
        <f>+C24+C25</f>
        <v>-3327</v>
      </c>
      <c r="D26" s="143">
        <f>+D24+D25</f>
        <v>-4454</v>
      </c>
      <c r="E26" s="66"/>
    </row>
    <row r="27" spans="1:5" ht="12.75">
      <c r="A27" s="94" t="s">
        <v>189</v>
      </c>
      <c r="B27" s="144">
        <f>+B23+B26</f>
        <v>36.84999999999991</v>
      </c>
      <c r="C27" s="144">
        <f>+C23+C26</f>
        <v>-1576.5500000000002</v>
      </c>
      <c r="D27" s="144">
        <f>+D23+D26</f>
        <v>-1917.75</v>
      </c>
      <c r="E27" s="67"/>
    </row>
  </sheetData>
  <sheetProtection sheet="1" objects="1" scenarios="1"/>
  <printOptions/>
  <pageMargins left="0.75" right="0.75" top="1" bottom="1" header="0" footer="0"/>
  <pageSetup orientation="portrait" paperSize="9"/>
</worksheet>
</file>

<file path=xl/worksheets/sheet21.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152" t="str">
        <f>+VENTAS!A1</f>
        <v>AFIC - Ejercicio de Aplicación 2</v>
      </c>
    </row>
    <row r="2" ht="12.75">
      <c r="A2" s="152" t="str">
        <f>+VENTAS!A2</f>
        <v>BODEGAS ESMERALDA</v>
      </c>
    </row>
    <row r="3" ht="12.75">
      <c r="B3" s="151" t="s">
        <v>280</v>
      </c>
    </row>
    <row r="4" ht="25.5">
      <c r="B4" s="12" t="s">
        <v>274</v>
      </c>
    </row>
    <row r="5" ht="13.5" thickBot="1"/>
    <row r="6" spans="1:2" ht="24.75" thickBot="1">
      <c r="A6" s="13" t="s">
        <v>253</v>
      </c>
      <c r="B6" s="14"/>
    </row>
    <row r="7" spans="1:2" ht="12.75">
      <c r="A7" s="11"/>
      <c r="B7" s="15"/>
    </row>
    <row r="8" ht="38.25">
      <c r="B8" s="12" t="s">
        <v>275</v>
      </c>
    </row>
    <row r="9" ht="13.5" thickBot="1"/>
    <row r="10" spans="1:2" ht="24.75" thickBot="1">
      <c r="A10" s="13" t="s">
        <v>253</v>
      </c>
      <c r="B10" s="14"/>
    </row>
  </sheetData>
  <sheetProtection sheet="1" objects="1" scenarios="1"/>
  <printOptions/>
  <pageMargins left="0.75" right="0.75" top="1" bottom="1" header="0" footer="0"/>
  <pageSetup orientation="portrait" paperSize="9"/>
</worksheet>
</file>

<file path=xl/worksheets/sheet22.xml><?xml version="1.0" encoding="utf-8"?>
<worksheet xmlns="http://schemas.openxmlformats.org/spreadsheetml/2006/main" xmlns:r="http://schemas.openxmlformats.org/officeDocument/2006/relationships">
  <dimension ref="A1:F11"/>
  <sheetViews>
    <sheetView workbookViewId="0" topLeftCell="A1">
      <selection activeCell="A1" sqref="A1"/>
    </sheetView>
  </sheetViews>
  <sheetFormatPr defaultColWidth="11.421875" defaultRowHeight="12.75"/>
  <cols>
    <col min="1" max="1" width="30.7109375" style="16" customWidth="1"/>
    <col min="2" max="6" width="8.7109375" style="16" customWidth="1"/>
    <col min="7" max="16384" width="11.421875" style="16" customWidth="1"/>
  </cols>
  <sheetData>
    <row r="1" spans="1:6" ht="12.75">
      <c r="A1" s="152" t="str">
        <f>+VENTAS!A1</f>
        <v>AFIC - Ejercicio de Aplicación 2</v>
      </c>
      <c r="B1" s="42"/>
      <c r="C1" s="42"/>
      <c r="D1" s="42"/>
      <c r="E1" s="42"/>
      <c r="F1" s="42"/>
    </row>
    <row r="2" spans="1:6" ht="12.75">
      <c r="A2" s="152" t="str">
        <f>+VENTAS!A2</f>
        <v>BODEGAS ESMERALDA</v>
      </c>
      <c r="B2" s="42"/>
      <c r="C2" s="42"/>
      <c r="D2" s="42"/>
      <c r="E2" s="42"/>
      <c r="F2" s="42"/>
    </row>
    <row r="3" spans="1:6" ht="12.75">
      <c r="A3" s="42"/>
      <c r="B3" s="42"/>
      <c r="C3" s="42"/>
      <c r="D3" s="42"/>
      <c r="E3" s="42"/>
      <c r="F3" s="42"/>
    </row>
    <row r="4" spans="1:6" ht="12.75">
      <c r="A4" s="68" t="s">
        <v>209</v>
      </c>
      <c r="B4" s="69"/>
      <c r="C4" s="69"/>
      <c r="D4" s="69"/>
      <c r="E4" s="69"/>
      <c r="F4" s="69"/>
    </row>
    <row r="5" spans="1:6" ht="12.75">
      <c r="A5" s="89"/>
      <c r="B5" s="71">
        <v>1996</v>
      </c>
      <c r="C5" s="71">
        <v>1997</v>
      </c>
      <c r="D5" s="71">
        <v>1998</v>
      </c>
      <c r="E5" s="71">
        <v>1999</v>
      </c>
      <c r="F5" s="79">
        <v>2000</v>
      </c>
    </row>
    <row r="6" spans="1:6" ht="12.75">
      <c r="A6" s="72" t="s">
        <v>208</v>
      </c>
      <c r="B6" s="73">
        <v>357</v>
      </c>
      <c r="C6" s="73">
        <v>399</v>
      </c>
      <c r="D6" s="73">
        <v>613</v>
      </c>
      <c r="E6" s="73">
        <v>927</v>
      </c>
      <c r="F6" s="73">
        <v>782</v>
      </c>
    </row>
    <row r="7" spans="1:6" ht="25.5">
      <c r="A7" s="145" t="s">
        <v>207</v>
      </c>
      <c r="B7" s="146">
        <f>696+459</f>
        <v>1155</v>
      </c>
      <c r="C7" s="146">
        <f>610+1099</f>
        <v>1709</v>
      </c>
      <c r="D7" s="146">
        <f>1100+1529</f>
        <v>2629</v>
      </c>
      <c r="E7" s="146">
        <f>4837-E6</f>
        <v>3910</v>
      </c>
      <c r="F7" s="146">
        <f>6640-F6</f>
        <v>5858</v>
      </c>
    </row>
    <row r="8" spans="1:6" ht="12.75">
      <c r="A8" s="75" t="s">
        <v>8</v>
      </c>
      <c r="B8" s="101">
        <f>+B6+B7</f>
        <v>1512</v>
      </c>
      <c r="C8" s="101">
        <f>+C6+C7</f>
        <v>2108</v>
      </c>
      <c r="D8" s="101">
        <f>+D6+D7</f>
        <v>3242</v>
      </c>
      <c r="E8" s="101">
        <f>+E6+E7</f>
        <v>4837</v>
      </c>
      <c r="F8" s="101">
        <f>+F6+F7</f>
        <v>6640</v>
      </c>
    </row>
    <row r="9" spans="1:6" ht="25.5">
      <c r="A9" s="147" t="s">
        <v>273</v>
      </c>
      <c r="B9" s="148">
        <v>6695</v>
      </c>
      <c r="C9" s="148">
        <v>9468</v>
      </c>
      <c r="D9" s="148">
        <v>11699</v>
      </c>
      <c r="E9" s="148">
        <v>14663</v>
      </c>
      <c r="F9" s="148">
        <v>16371</v>
      </c>
    </row>
    <row r="10" spans="1:6" ht="12.75">
      <c r="A10" s="17"/>
      <c r="B10" s="17"/>
      <c r="C10" s="17"/>
      <c r="D10" s="17"/>
      <c r="E10" s="17"/>
      <c r="F10" s="17"/>
    </row>
    <row r="11" spans="1:6" ht="12.75">
      <c r="A11" s="17"/>
      <c r="B11" s="17"/>
      <c r="C11" s="17"/>
      <c r="D11" s="17"/>
      <c r="E11" s="17"/>
      <c r="F11" s="17"/>
    </row>
  </sheetData>
  <sheetProtection sheet="1" objects="1" scenarios="1"/>
  <printOptions/>
  <pageMargins left="0.75" right="0.75" top="1" bottom="1" header="0" footer="0"/>
  <pageSetup orientation="portrait" paperSize="9"/>
</worksheet>
</file>

<file path=xl/worksheets/sheet23.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11.421875" defaultRowHeight="12.75"/>
  <cols>
    <col min="1" max="1" width="30.7109375" style="16" customWidth="1"/>
    <col min="2" max="6" width="8.7109375" style="16" customWidth="1"/>
    <col min="7" max="16384" width="11.421875" style="16" customWidth="1"/>
  </cols>
  <sheetData>
    <row r="1" spans="1:5" ht="12.75">
      <c r="A1" s="152" t="str">
        <f>+VENTAS!A1</f>
        <v>AFIC - Ejercicio de Aplicación 2</v>
      </c>
      <c r="B1" s="42"/>
      <c r="C1" s="42"/>
      <c r="D1" s="42"/>
      <c r="E1" s="42"/>
    </row>
    <row r="2" spans="1:5" ht="12.75">
      <c r="A2" s="152" t="str">
        <f>+VENTAS!A2</f>
        <v>BODEGAS ESMERALDA</v>
      </c>
      <c r="B2" s="42"/>
      <c r="C2" s="42"/>
      <c r="D2" s="42"/>
      <c r="E2" s="42"/>
    </row>
    <row r="3" spans="1:6" ht="12.75">
      <c r="A3" s="42"/>
      <c r="B3" s="42"/>
      <c r="C3" s="42"/>
      <c r="D3" s="42"/>
      <c r="E3" s="42"/>
      <c r="F3" s="25" t="s">
        <v>252</v>
      </c>
    </row>
    <row r="4" spans="1:6" ht="12.75">
      <c r="A4" s="68" t="s">
        <v>248</v>
      </c>
      <c r="B4" s="69"/>
      <c r="C4" s="69"/>
      <c r="D4" s="69"/>
      <c r="E4" s="69"/>
      <c r="F4" s="17"/>
    </row>
    <row r="5" spans="1:6" ht="12.75">
      <c r="A5" s="68" t="s">
        <v>247</v>
      </c>
      <c r="B5" s="69"/>
      <c r="C5" s="69"/>
      <c r="D5" s="69"/>
      <c r="E5" s="69"/>
      <c r="F5" s="17"/>
    </row>
    <row r="6" spans="1:6" ht="12.75">
      <c r="A6" s="89"/>
      <c r="B6" s="71">
        <v>1996</v>
      </c>
      <c r="C6" s="71">
        <v>1997</v>
      </c>
      <c r="D6" s="71">
        <v>1998</v>
      </c>
      <c r="E6" s="71">
        <v>1999</v>
      </c>
      <c r="F6" s="18">
        <v>2000</v>
      </c>
    </row>
    <row r="7" spans="1:6" ht="12.75">
      <c r="A7" s="72" t="s">
        <v>246</v>
      </c>
      <c r="B7" s="72"/>
      <c r="C7" s="73">
        <f>+'EST RESULT'!C6</f>
        <v>19689</v>
      </c>
      <c r="D7" s="73">
        <f>+'EST RESULT'!D6</f>
        <v>23421</v>
      </c>
      <c r="E7" s="73">
        <f>+'EST RESULT'!E6</f>
        <v>28444</v>
      </c>
      <c r="F7" s="20"/>
    </row>
    <row r="8" spans="1:6" ht="12.75">
      <c r="A8" s="72" t="s">
        <v>245</v>
      </c>
      <c r="B8" s="72"/>
      <c r="C8" s="73">
        <f>+C7*1.21</f>
        <v>23823.69</v>
      </c>
      <c r="D8" s="73">
        <f>+D7*1.21</f>
        <v>28339.41</v>
      </c>
      <c r="E8" s="73">
        <f>+E7*1.21</f>
        <v>34417.24</v>
      </c>
      <c r="F8" s="20"/>
    </row>
    <row r="9" spans="1:6" ht="12.75">
      <c r="A9" s="72" t="s">
        <v>244</v>
      </c>
      <c r="B9" s="72"/>
      <c r="C9" s="110">
        <f>+C8/365</f>
        <v>65.27038356164383</v>
      </c>
      <c r="D9" s="110">
        <f>+D8/365</f>
        <v>77.64221917808219</v>
      </c>
      <c r="E9" s="110">
        <f>+E8/365</f>
        <v>94.29380821917808</v>
      </c>
      <c r="F9" s="37"/>
    </row>
    <row r="10" spans="1:6" ht="12.75">
      <c r="A10" s="72" t="s">
        <v>29</v>
      </c>
      <c r="B10" s="73">
        <f>+'EST PATRIM'!B7</f>
        <v>5622</v>
      </c>
      <c r="C10" s="73">
        <f>+'EST PATRIM'!C7</f>
        <v>5002</v>
      </c>
      <c r="D10" s="73">
        <f>+'EST PATRIM'!D7</f>
        <v>7026</v>
      </c>
      <c r="E10" s="73">
        <f>+'EST PATRIM'!E7</f>
        <v>7689</v>
      </c>
      <c r="F10" s="20"/>
    </row>
    <row r="11" spans="1:6" ht="12.75">
      <c r="A11" s="72" t="s">
        <v>243</v>
      </c>
      <c r="B11" s="73"/>
      <c r="C11" s="76">
        <f>SUM(B10:C10)/2</f>
        <v>5312</v>
      </c>
      <c r="D11" s="76">
        <f>SUM(C10:D10)/2</f>
        <v>6014</v>
      </c>
      <c r="E11" s="76">
        <f>SUM(D10:E10)/2</f>
        <v>7357.5</v>
      </c>
      <c r="F11" s="21"/>
    </row>
    <row r="12" spans="1:6" ht="12.75">
      <c r="A12" s="75" t="s">
        <v>242</v>
      </c>
      <c r="B12" s="75"/>
      <c r="C12" s="76">
        <f>+C11/C9</f>
        <v>81.3845378276833</v>
      </c>
      <c r="D12" s="76">
        <f>+D11/D9</f>
        <v>77.45785815583318</v>
      </c>
      <c r="E12" s="76">
        <f>+E11/E9</f>
        <v>78.02739266716333</v>
      </c>
      <c r="F12" s="21"/>
    </row>
    <row r="13" spans="1:6" ht="12.75">
      <c r="A13" s="69"/>
      <c r="B13" s="69"/>
      <c r="C13" s="69"/>
      <c r="D13" s="69"/>
      <c r="E13" s="69"/>
      <c r="F13" s="17"/>
    </row>
    <row r="14" spans="1:6" ht="12.75">
      <c r="A14" s="68" t="s">
        <v>241</v>
      </c>
      <c r="B14" s="69"/>
      <c r="C14" s="69"/>
      <c r="D14" s="69"/>
      <c r="E14" s="69"/>
      <c r="F14" s="17"/>
    </row>
    <row r="15" spans="1:6" ht="12.75">
      <c r="A15" s="89"/>
      <c r="B15" s="71">
        <v>1996</v>
      </c>
      <c r="C15" s="71">
        <v>1997</v>
      </c>
      <c r="D15" s="71">
        <v>1998</v>
      </c>
      <c r="E15" s="71">
        <v>1999</v>
      </c>
      <c r="F15" s="71">
        <v>2000</v>
      </c>
    </row>
    <row r="16" spans="1:6" ht="12.75">
      <c r="A16" s="72" t="s">
        <v>240</v>
      </c>
      <c r="B16" s="73"/>
      <c r="C16" s="73">
        <f>+B18</f>
        <v>1155</v>
      </c>
      <c r="D16" s="73">
        <f>+C18</f>
        <v>1709</v>
      </c>
      <c r="E16" s="73">
        <f>+D18</f>
        <v>2629</v>
      </c>
      <c r="F16" s="73">
        <f>+E18</f>
        <v>3910</v>
      </c>
    </row>
    <row r="17" spans="1:6" ht="12.75">
      <c r="A17" s="72" t="s">
        <v>206</v>
      </c>
      <c r="B17" s="73"/>
      <c r="C17" s="73">
        <f>+'BS CAMBIO'!C9</f>
        <v>9468</v>
      </c>
      <c r="D17" s="73">
        <f>+'BS CAMBIO'!D9</f>
        <v>11699</v>
      </c>
      <c r="E17" s="73">
        <f>+'BS CAMBIO'!E9</f>
        <v>14663</v>
      </c>
      <c r="F17" s="73">
        <f>+'BS CAMBIO'!F9</f>
        <v>16371</v>
      </c>
    </row>
    <row r="18" spans="1:6" ht="12.75">
      <c r="A18" s="72" t="s">
        <v>239</v>
      </c>
      <c r="B18" s="73">
        <f>+'BS CAMBIO'!B7</f>
        <v>1155</v>
      </c>
      <c r="C18" s="73">
        <f>+'BS CAMBIO'!C7</f>
        <v>1709</v>
      </c>
      <c r="D18" s="73">
        <f>+'BS CAMBIO'!D7</f>
        <v>2629</v>
      </c>
      <c r="E18" s="73">
        <f>+'BS CAMBIO'!E7</f>
        <v>3910</v>
      </c>
      <c r="F18" s="73">
        <f>+'BS CAMBIO'!F7</f>
        <v>5858</v>
      </c>
    </row>
    <row r="19" spans="1:6" ht="12.75">
      <c r="A19" s="80" t="s">
        <v>140</v>
      </c>
      <c r="B19" s="81"/>
      <c r="C19" s="81">
        <f>+C16+C17-C18</f>
        <v>8914</v>
      </c>
      <c r="D19" s="81">
        <f>+D16+D17-D18</f>
        <v>10779</v>
      </c>
      <c r="E19" s="81">
        <f>+E16+E17-E18</f>
        <v>13382</v>
      </c>
      <c r="F19" s="81">
        <f>+F16+F17-F18</f>
        <v>14423</v>
      </c>
    </row>
    <row r="20" spans="1:6" ht="12.75">
      <c r="A20" s="72" t="s">
        <v>151</v>
      </c>
      <c r="B20" s="73"/>
      <c r="C20" s="73">
        <f>+COSTOS!C6</f>
        <v>1664</v>
      </c>
      <c r="D20" s="73">
        <f>+COSTOS!D6</f>
        <v>2083</v>
      </c>
      <c r="E20" s="73">
        <f>+COSTOS!E6</f>
        <v>2661</v>
      </c>
      <c r="F20" s="73">
        <f>+COSTOS!F6</f>
        <v>3318</v>
      </c>
    </row>
    <row r="21" spans="1:6" ht="12.75">
      <c r="A21" s="80" t="s">
        <v>205</v>
      </c>
      <c r="B21" s="81"/>
      <c r="C21" s="81">
        <f>+C19+C20</f>
        <v>10578</v>
      </c>
      <c r="D21" s="81">
        <f>+D19+D20</f>
        <v>12862</v>
      </c>
      <c r="E21" s="81">
        <f>+E19+E20</f>
        <v>16043</v>
      </c>
      <c r="F21" s="81">
        <f>+F19+F20</f>
        <v>17741</v>
      </c>
    </row>
    <row r="22" spans="1:6" ht="12.75">
      <c r="A22" s="72" t="s">
        <v>238</v>
      </c>
      <c r="B22" s="73"/>
      <c r="C22" s="73">
        <f>+B24</f>
        <v>357</v>
      </c>
      <c r="D22" s="73">
        <f>+C24</f>
        <v>399</v>
      </c>
      <c r="E22" s="73">
        <f>+D24</f>
        <v>613</v>
      </c>
      <c r="F22" s="73">
        <f>+E24</f>
        <v>927</v>
      </c>
    </row>
    <row r="23" spans="1:6" ht="12.75">
      <c r="A23" s="72" t="s">
        <v>237</v>
      </c>
      <c r="B23" s="73"/>
      <c r="C23" s="73">
        <f>+'EST RESULT'!C12</f>
        <v>240</v>
      </c>
      <c r="D23" s="73">
        <f>+'EST RESULT'!D12</f>
        <v>732</v>
      </c>
      <c r="E23" s="73">
        <f>+'EST RESULT'!E12</f>
        <v>-835</v>
      </c>
      <c r="F23" s="73">
        <f>+'EST RESULT'!F12</f>
        <v>-84</v>
      </c>
    </row>
    <row r="24" spans="1:6" ht="12.75">
      <c r="A24" s="72" t="s">
        <v>236</v>
      </c>
      <c r="B24" s="73">
        <f>+'BS CAMBIO'!B6</f>
        <v>357</v>
      </c>
      <c r="C24" s="73">
        <f>+'BS CAMBIO'!C6</f>
        <v>399</v>
      </c>
      <c r="D24" s="73">
        <f>+'BS CAMBIO'!D6</f>
        <v>613</v>
      </c>
      <c r="E24" s="73">
        <f>+'BS CAMBIO'!E6</f>
        <v>927</v>
      </c>
      <c r="F24" s="73">
        <f>+'BS CAMBIO'!F6</f>
        <v>782</v>
      </c>
    </row>
    <row r="25" spans="1:6" ht="12.75">
      <c r="A25" s="94" t="s">
        <v>44</v>
      </c>
      <c r="B25" s="82"/>
      <c r="C25" s="82">
        <f>+C21+C22+C23-C24</f>
        <v>10776</v>
      </c>
      <c r="D25" s="82">
        <f>+D21+D22+D23-D24</f>
        <v>13380</v>
      </c>
      <c r="E25" s="82">
        <f>+E21+E22+E23-E24</f>
        <v>14894</v>
      </c>
      <c r="F25" s="82">
        <f>+F21+F22+F23-F24</f>
        <v>17802</v>
      </c>
    </row>
    <row r="26" spans="1:6" ht="12.75">
      <c r="A26" s="149"/>
      <c r="B26" s="150"/>
      <c r="C26" s="150"/>
      <c r="D26" s="150"/>
      <c r="E26" s="150"/>
      <c r="F26" s="150"/>
    </row>
    <row r="27" spans="1:6" ht="12.75">
      <c r="A27" s="77" t="s">
        <v>235</v>
      </c>
      <c r="B27" s="108"/>
      <c r="C27" s="108"/>
      <c r="D27" s="108"/>
      <c r="E27" s="108"/>
      <c r="F27" s="108"/>
    </row>
    <row r="28" spans="1:6" ht="12.75">
      <c r="A28" s="89"/>
      <c r="B28" s="71">
        <v>1996</v>
      </c>
      <c r="C28" s="71">
        <v>1997</v>
      </c>
      <c r="D28" s="71">
        <v>1998</v>
      </c>
      <c r="E28" s="71">
        <v>1999</v>
      </c>
      <c r="F28" s="18">
        <v>2000</v>
      </c>
    </row>
    <row r="29" spans="1:6" ht="12.75">
      <c r="A29" s="72" t="s">
        <v>140</v>
      </c>
      <c r="B29" s="72"/>
      <c r="C29" s="100">
        <f>+C19</f>
        <v>8914</v>
      </c>
      <c r="D29" s="100">
        <f>+D19</f>
        <v>10779</v>
      </c>
      <c r="E29" s="100">
        <f>+E19</f>
        <v>13382</v>
      </c>
      <c r="F29" s="29"/>
    </row>
    <row r="30" spans="1:6" ht="12.75">
      <c r="A30" s="72" t="s">
        <v>234</v>
      </c>
      <c r="B30" s="72"/>
      <c r="C30" s="110">
        <f>+C29/365</f>
        <v>24.421917808219177</v>
      </c>
      <c r="D30" s="110">
        <f>+D29/365</f>
        <v>29.53150684931507</v>
      </c>
      <c r="E30" s="110">
        <f>+E29/365</f>
        <v>36.66301369863014</v>
      </c>
      <c r="F30" s="37"/>
    </row>
    <row r="31" spans="1:6" ht="12.75">
      <c r="A31" s="72" t="s">
        <v>233</v>
      </c>
      <c r="B31" s="100">
        <f>+B18</f>
        <v>1155</v>
      </c>
      <c r="C31" s="100">
        <f>+C18</f>
        <v>1709</v>
      </c>
      <c r="D31" s="100">
        <f>+D18</f>
        <v>2629</v>
      </c>
      <c r="E31" s="100">
        <f>+E18</f>
        <v>3910</v>
      </c>
      <c r="F31" s="29"/>
    </row>
    <row r="32" spans="1:6" ht="12.75">
      <c r="A32" s="72" t="s">
        <v>232</v>
      </c>
      <c r="B32" s="72"/>
      <c r="C32" s="101">
        <f>SUM(B31:C31)/2</f>
        <v>1432</v>
      </c>
      <c r="D32" s="101">
        <f>SUM(C31:D31)/2</f>
        <v>2169</v>
      </c>
      <c r="E32" s="101">
        <f>SUM(D31:E31)/2</f>
        <v>3269.5</v>
      </c>
      <c r="F32" s="30"/>
    </row>
    <row r="33" spans="1:6" ht="12.75">
      <c r="A33" s="75" t="s">
        <v>231</v>
      </c>
      <c r="B33" s="75"/>
      <c r="C33" s="76">
        <f>+C32/C30</f>
        <v>58.63585371326004</v>
      </c>
      <c r="D33" s="76">
        <f>+D32/D30</f>
        <v>73.4469802393543</v>
      </c>
      <c r="E33" s="76">
        <f>+E32/E30</f>
        <v>89.17706620833955</v>
      </c>
      <c r="F33" s="21"/>
    </row>
    <row r="34" spans="1:6" ht="12.75">
      <c r="A34" s="72" t="s">
        <v>230</v>
      </c>
      <c r="B34" s="72"/>
      <c r="C34" s="100">
        <f>+C25</f>
        <v>10776</v>
      </c>
      <c r="D34" s="100">
        <f>+D25</f>
        <v>13380</v>
      </c>
      <c r="E34" s="100">
        <f>+E25</f>
        <v>14894</v>
      </c>
      <c r="F34" s="29"/>
    </row>
    <row r="35" spans="1:6" ht="12.75">
      <c r="A35" s="72" t="s">
        <v>229</v>
      </c>
      <c r="B35" s="72"/>
      <c r="C35" s="110">
        <f>+C34/365</f>
        <v>29.523287671232875</v>
      </c>
      <c r="D35" s="110">
        <f>+D34/365</f>
        <v>36.657534246575345</v>
      </c>
      <c r="E35" s="110">
        <f>+E34/365</f>
        <v>40.8054794520548</v>
      </c>
      <c r="F35" s="37"/>
    </row>
    <row r="36" spans="1:6" ht="12.75">
      <c r="A36" s="72" t="s">
        <v>208</v>
      </c>
      <c r="B36" s="100">
        <f>+B24</f>
        <v>357</v>
      </c>
      <c r="C36" s="100">
        <f>+C24</f>
        <v>399</v>
      </c>
      <c r="D36" s="100">
        <f>+D24</f>
        <v>613</v>
      </c>
      <c r="E36" s="100">
        <f>+E24</f>
        <v>927</v>
      </c>
      <c r="F36" s="29"/>
    </row>
    <row r="37" spans="1:6" ht="12.75">
      <c r="A37" s="72" t="s">
        <v>228</v>
      </c>
      <c r="B37" s="72"/>
      <c r="C37" s="101">
        <f>SUM(B36:C36)/2</f>
        <v>378</v>
      </c>
      <c r="D37" s="101">
        <f>SUM(C36:D36)/2</f>
        <v>506</v>
      </c>
      <c r="E37" s="101">
        <f>SUM(D36:E36)/2</f>
        <v>770</v>
      </c>
      <c r="F37" s="30"/>
    </row>
    <row r="38" spans="1:6" ht="12.75">
      <c r="A38" s="75" t="s">
        <v>227</v>
      </c>
      <c r="B38" s="75"/>
      <c r="C38" s="76">
        <f>+C37/C35</f>
        <v>12.803452115812918</v>
      </c>
      <c r="D38" s="76">
        <f>+D37/D35</f>
        <v>13.803437967115096</v>
      </c>
      <c r="E38" s="76">
        <f>+E37/E35</f>
        <v>18.870014771048744</v>
      </c>
      <c r="F38" s="21"/>
    </row>
    <row r="39" spans="1:6" ht="12.75">
      <c r="A39" s="75" t="s">
        <v>226</v>
      </c>
      <c r="B39" s="75"/>
      <c r="C39" s="101">
        <f>+C33+C38</f>
        <v>71.43930582907296</v>
      </c>
      <c r="D39" s="101">
        <f>+D33+D38</f>
        <v>87.2504182064694</v>
      </c>
      <c r="E39" s="101">
        <f>+E33+E38</f>
        <v>108.0470809793883</v>
      </c>
      <c r="F39" s="30"/>
    </row>
    <row r="40" spans="1:6" ht="12.75">
      <c r="A40" s="69"/>
      <c r="B40" s="69"/>
      <c r="C40" s="69"/>
      <c r="D40" s="69"/>
      <c r="E40" s="69"/>
      <c r="F40" s="17"/>
    </row>
    <row r="41" spans="1:6" ht="12.75">
      <c r="A41" s="68" t="s">
        <v>225</v>
      </c>
      <c r="B41" s="69"/>
      <c r="C41" s="69"/>
      <c r="D41" s="69"/>
      <c r="E41" s="69"/>
      <c r="F41" s="17"/>
    </row>
    <row r="42" spans="1:6" ht="12.75">
      <c r="A42" s="89"/>
      <c r="B42" s="71">
        <v>1996</v>
      </c>
      <c r="C42" s="71">
        <v>1997</v>
      </c>
      <c r="D42" s="71">
        <v>1998</v>
      </c>
      <c r="E42" s="71">
        <v>1999</v>
      </c>
      <c r="F42" s="18">
        <v>2000</v>
      </c>
    </row>
    <row r="43" spans="1:6" ht="12.75">
      <c r="A43" s="72" t="s">
        <v>206</v>
      </c>
      <c r="B43" s="72"/>
      <c r="C43" s="100">
        <f>+C17</f>
        <v>9468</v>
      </c>
      <c r="D43" s="100">
        <f>+D17</f>
        <v>11699</v>
      </c>
      <c r="E43" s="100">
        <f>+E17</f>
        <v>14663</v>
      </c>
      <c r="F43" s="29"/>
    </row>
    <row r="44" spans="1:6" ht="12.75">
      <c r="A44" s="72" t="s">
        <v>224</v>
      </c>
      <c r="B44" s="72"/>
      <c r="C44" s="72"/>
      <c r="D44" s="72"/>
      <c r="E44" s="72"/>
      <c r="F44" s="19"/>
    </row>
    <row r="45" spans="1:6" ht="12.75">
      <c r="A45" s="72" t="s">
        <v>223</v>
      </c>
      <c r="B45" s="72"/>
      <c r="C45" s="73">
        <f>+COSTOS!C7+COSTOS!C12+COSTOS!C20</f>
        <v>2005</v>
      </c>
      <c r="D45" s="73">
        <f>+COSTOS!D7+COSTOS!D12+COSTOS!D20</f>
        <v>2272</v>
      </c>
      <c r="E45" s="73">
        <f>+COSTOS!E7+COSTOS!E12+COSTOS!E20</f>
        <v>2303</v>
      </c>
      <c r="F45" s="20"/>
    </row>
    <row r="46" spans="1:6" ht="12.75">
      <c r="A46" s="72" t="s">
        <v>222</v>
      </c>
      <c r="B46" s="72"/>
      <c r="C46" s="73">
        <f>+COSTOS!C8+COSTOS!C10+COSTOS!C13+COSTOS!C14+COSTOS!C15+COSTOS!C21</f>
        <v>4195</v>
      </c>
      <c r="D46" s="73">
        <f>+COSTOS!D8+COSTOS!D10+COSTOS!D13+COSTOS!D14+COSTOS!D15+COSTOS!D21</f>
        <v>5473</v>
      </c>
      <c r="E46" s="73">
        <f>+COSTOS!E8+COSTOS!E10+COSTOS!E13+COSTOS!E14+COSTOS!E15+COSTOS!E21</f>
        <v>6172</v>
      </c>
      <c r="F46" s="20"/>
    </row>
    <row r="47" spans="1:6" ht="12.75">
      <c r="A47" s="72" t="s">
        <v>221</v>
      </c>
      <c r="B47" s="72"/>
      <c r="C47" s="101">
        <f>+C43+C45+C46</f>
        <v>15668</v>
      </c>
      <c r="D47" s="101">
        <f>+D43+D45+D46</f>
        <v>19444</v>
      </c>
      <c r="E47" s="101">
        <f>+E43+E45+E46</f>
        <v>23138</v>
      </c>
      <c r="F47" s="30"/>
    </row>
    <row r="48" spans="1:6" ht="12.75">
      <c r="A48" s="72" t="s">
        <v>220</v>
      </c>
      <c r="B48" s="72"/>
      <c r="C48" s="73">
        <f>(C43+C46)*0.21</f>
        <v>2869.23</v>
      </c>
      <c r="D48" s="73">
        <f>(D43+D46)*0.21</f>
        <v>3606.12</v>
      </c>
      <c r="E48" s="73">
        <f>(E43+E46)*0.21</f>
        <v>4375.349999999999</v>
      </c>
      <c r="F48" s="20"/>
    </row>
    <row r="49" spans="1:6" ht="12.75">
      <c r="A49" s="72" t="s">
        <v>219</v>
      </c>
      <c r="B49" s="72"/>
      <c r="C49" s="100">
        <f>+C47+C48</f>
        <v>18537.23</v>
      </c>
      <c r="D49" s="100">
        <f>+D47+D48</f>
        <v>23050.12</v>
      </c>
      <c r="E49" s="100">
        <f>+E47+E48</f>
        <v>27513.35</v>
      </c>
      <c r="F49" s="29"/>
    </row>
    <row r="50" spans="1:6" ht="12.75">
      <c r="A50" s="75" t="s">
        <v>218</v>
      </c>
      <c r="B50" s="75"/>
      <c r="C50" s="111">
        <f>+C49/365</f>
        <v>50.786931506849314</v>
      </c>
      <c r="D50" s="111">
        <f>+D49/365</f>
        <v>63.15101369863014</v>
      </c>
      <c r="E50" s="111">
        <f>+E49/365</f>
        <v>75.3790410958904</v>
      </c>
      <c r="F50" s="38"/>
    </row>
    <row r="51" spans="1:6" ht="12.75">
      <c r="A51" s="72" t="s">
        <v>19</v>
      </c>
      <c r="B51" s="73">
        <f>+'EST PATRIM'!B17</f>
        <v>3870</v>
      </c>
      <c r="C51" s="73">
        <f>+'EST PATRIM'!C17</f>
        <v>3535</v>
      </c>
      <c r="D51" s="73">
        <f>+'EST PATRIM'!D17</f>
        <v>5727</v>
      </c>
      <c r="E51" s="73">
        <f>+'EST PATRIM'!E17</f>
        <v>6103</v>
      </c>
      <c r="F51" s="20"/>
    </row>
    <row r="52" spans="1:6" ht="12.75">
      <c r="A52" s="72" t="s">
        <v>217</v>
      </c>
      <c r="B52" s="73">
        <f>+'EST PATRIM'!B19</f>
        <v>152</v>
      </c>
      <c r="C52" s="73">
        <f>+'EST PATRIM'!C19</f>
        <v>148</v>
      </c>
      <c r="D52" s="73">
        <f>+'EST PATRIM'!D19</f>
        <v>166</v>
      </c>
      <c r="E52" s="73">
        <f>+'EST PATRIM'!E19</f>
        <v>180</v>
      </c>
      <c r="F52" s="20"/>
    </row>
    <row r="53" spans="1:6" ht="12.75">
      <c r="A53" s="72" t="s">
        <v>16</v>
      </c>
      <c r="B53" s="76">
        <f>+'EST PATRIM'!B20</f>
        <v>1562</v>
      </c>
      <c r="C53" s="76">
        <f>+'EST PATRIM'!C20</f>
        <v>1063</v>
      </c>
      <c r="D53" s="76">
        <f>+'EST PATRIM'!D20</f>
        <v>1026</v>
      </c>
      <c r="E53" s="76">
        <f>+'EST PATRIM'!E20</f>
        <v>1315</v>
      </c>
      <c r="F53" s="21"/>
    </row>
    <row r="54" spans="1:6" ht="12.75">
      <c r="A54" s="72" t="s">
        <v>216</v>
      </c>
      <c r="B54" s="73">
        <f>SUM(B51:B53)</f>
        <v>5584</v>
      </c>
      <c r="C54" s="73">
        <f>SUM(C51:C53)</f>
        <v>4746</v>
      </c>
      <c r="D54" s="73">
        <f>SUM(D51:D53)</f>
        <v>6919</v>
      </c>
      <c r="E54" s="73">
        <f>SUM(E51:E53)</f>
        <v>7598</v>
      </c>
      <c r="F54" s="20"/>
    </row>
    <row r="55" spans="1:6" ht="12.75">
      <c r="A55" s="72" t="s">
        <v>215</v>
      </c>
      <c r="B55" s="72"/>
      <c r="C55" s="101">
        <f>SUM(B54:C54)/2</f>
        <v>5165</v>
      </c>
      <c r="D55" s="101">
        <f>SUM(C54:D54)/2</f>
        <v>5832.5</v>
      </c>
      <c r="E55" s="101">
        <f>SUM(D54:E54)/2</f>
        <v>7258.5</v>
      </c>
      <c r="F55" s="30"/>
    </row>
    <row r="56" spans="1:6" ht="12.75">
      <c r="A56" s="75" t="s">
        <v>214</v>
      </c>
      <c r="B56" s="75"/>
      <c r="C56" s="76">
        <f>+C55/C50</f>
        <v>101.69939090144537</v>
      </c>
      <c r="D56" s="76">
        <f>+D55/D50</f>
        <v>92.35797904739758</v>
      </c>
      <c r="E56" s="76">
        <f>+E55/E50</f>
        <v>96.29334486712816</v>
      </c>
      <c r="F56" s="21"/>
    </row>
    <row r="57" spans="1:6" ht="12.75">
      <c r="A57" s="35"/>
      <c r="B57" s="35"/>
      <c r="C57" s="58"/>
      <c r="D57" s="58"/>
      <c r="E57" s="58"/>
      <c r="F57" s="58"/>
    </row>
  </sheetData>
  <sheetProtection sheet="1" objects="1" scenarios="1"/>
  <printOptions/>
  <pageMargins left="0.75" right="0.75" top="1" bottom="1" header="0" footer="0"/>
  <pageSetup orientation="portrait" paperSize="9"/>
</worksheet>
</file>

<file path=xl/worksheets/sheet24.xml><?xml version="1.0" encoding="utf-8"?>
<worksheet xmlns="http://schemas.openxmlformats.org/spreadsheetml/2006/main" xmlns:r="http://schemas.openxmlformats.org/officeDocument/2006/relationships">
  <dimension ref="A1:F11"/>
  <sheetViews>
    <sheetView workbookViewId="0" topLeftCell="A1">
      <selection activeCell="E5" sqref="E5"/>
    </sheetView>
  </sheetViews>
  <sheetFormatPr defaultColWidth="11.421875" defaultRowHeight="12.75"/>
  <cols>
    <col min="1" max="1" width="25.7109375" style="16" customWidth="1"/>
    <col min="2" max="5" width="7.7109375" style="16" customWidth="1"/>
    <col min="6" max="16384" width="11.421875" style="16" customWidth="1"/>
  </cols>
  <sheetData>
    <row r="1" spans="1:5" ht="12.75">
      <c r="A1" s="152" t="str">
        <f>+VENTAS!A1</f>
        <v>AFIC - Ejercicio de Aplicación 2</v>
      </c>
      <c r="B1" s="42"/>
      <c r="C1" s="42"/>
      <c r="D1" s="42"/>
      <c r="E1" s="42"/>
    </row>
    <row r="2" spans="1:5" ht="12.75">
      <c r="A2" s="152" t="str">
        <f>+VENTAS!A2</f>
        <v>BODEGAS ESMERALDA</v>
      </c>
      <c r="B2" s="42"/>
      <c r="C2" s="42"/>
      <c r="D2" s="42"/>
      <c r="E2" s="42"/>
    </row>
    <row r="3" spans="1:5" ht="12.75">
      <c r="A3" s="42"/>
      <c r="B3" s="42"/>
      <c r="C3" s="42"/>
      <c r="D3" s="42"/>
      <c r="E3" s="42"/>
    </row>
    <row r="4" spans="1:6" ht="12.75">
      <c r="A4" s="68" t="s">
        <v>213</v>
      </c>
      <c r="B4" s="69"/>
      <c r="C4" s="69"/>
      <c r="D4" s="69"/>
      <c r="E4" s="69"/>
      <c r="F4" s="17"/>
    </row>
    <row r="5" spans="1:5" ht="12.75">
      <c r="A5" s="89"/>
      <c r="B5" s="71">
        <v>1997</v>
      </c>
      <c r="C5" s="71">
        <v>1998</v>
      </c>
      <c r="D5" s="71">
        <v>1999</v>
      </c>
      <c r="E5" s="71">
        <v>2000</v>
      </c>
    </row>
    <row r="6" spans="1:5" ht="12.75">
      <c r="A6" s="72" t="s">
        <v>212</v>
      </c>
      <c r="B6" s="100">
        <f>+'CICLO FIN - PLAZOS'!C33</f>
        <v>58.63585371326004</v>
      </c>
      <c r="C6" s="100">
        <f>+'CICLO FIN - PLAZOS'!D33</f>
        <v>73.4469802393543</v>
      </c>
      <c r="D6" s="100">
        <f>+'CICLO FIN - PLAZOS'!E33</f>
        <v>89.17706620833955</v>
      </c>
      <c r="E6" s="100">
        <v>123.6</v>
      </c>
    </row>
    <row r="7" spans="1:5" ht="12.75">
      <c r="A7" s="72" t="s">
        <v>208</v>
      </c>
      <c r="B7" s="100">
        <f>+'CICLO FIN - PLAZOS'!C38</f>
        <v>12.803452115812918</v>
      </c>
      <c r="C7" s="100">
        <f>+'CICLO FIN - PLAZOS'!D38</f>
        <v>13.803437967115096</v>
      </c>
      <c r="D7" s="100">
        <f>+'CICLO FIN - PLAZOS'!E38</f>
        <v>18.870014771048744</v>
      </c>
      <c r="E7" s="100">
        <v>17.5</v>
      </c>
    </row>
    <row r="8" spans="1:5" ht="12.75">
      <c r="A8" s="72" t="s">
        <v>29</v>
      </c>
      <c r="B8" s="101">
        <f>+'CICLO FIN - PLAZOS'!C12</f>
        <v>81.3845378276833</v>
      </c>
      <c r="C8" s="101">
        <f>+'CICLO FIN - PLAZOS'!D12</f>
        <v>77.45785815583318</v>
      </c>
      <c r="D8" s="101">
        <f>+'CICLO FIN - PLAZOS'!E12</f>
        <v>78.02739266716333</v>
      </c>
      <c r="E8" s="101">
        <v>83.2</v>
      </c>
    </row>
    <row r="9" spans="1:5" ht="12.75">
      <c r="A9" s="72" t="s">
        <v>211</v>
      </c>
      <c r="B9" s="100">
        <f>+B6+B7+B8</f>
        <v>152.82384365675625</v>
      </c>
      <c r="C9" s="100">
        <f>+C6+C7+C8</f>
        <v>164.70827636230257</v>
      </c>
      <c r="D9" s="100">
        <f>+D6+D7+D8</f>
        <v>186.0744736465516</v>
      </c>
      <c r="E9" s="100">
        <f>+E6+E7+E8</f>
        <v>224.3</v>
      </c>
    </row>
    <row r="10" spans="1:5" ht="12.75">
      <c r="A10" s="72" t="s">
        <v>115</v>
      </c>
      <c r="B10" s="101">
        <f>+'CICLO FIN - PLAZOS'!C56</f>
        <v>101.69939090144537</v>
      </c>
      <c r="C10" s="101">
        <f>+'CICLO FIN - PLAZOS'!D56</f>
        <v>92.35797904739758</v>
      </c>
      <c r="D10" s="101">
        <f>+'CICLO FIN - PLAZOS'!E56</f>
        <v>96.29334486712816</v>
      </c>
      <c r="E10" s="101">
        <v>104.4</v>
      </c>
    </row>
    <row r="11" spans="1:5" ht="12.75">
      <c r="A11" s="75" t="s">
        <v>210</v>
      </c>
      <c r="B11" s="101">
        <f>+B9-B10</f>
        <v>51.124452755310884</v>
      </c>
      <c r="C11" s="101">
        <f>+C9-C10</f>
        <v>72.35029731490499</v>
      </c>
      <c r="D11" s="101">
        <f>+D9-D10</f>
        <v>89.78112877942345</v>
      </c>
      <c r="E11" s="101">
        <f>+E9-E10</f>
        <v>119.9</v>
      </c>
    </row>
  </sheetData>
  <sheetProtection sheet="1" objects="1" scenarios="1"/>
  <printOptions/>
  <pageMargins left="0.75" right="0.75" top="1" bottom="1" header="0" footer="0"/>
  <pageSetup orientation="portrait" paperSize="9"/>
</worksheet>
</file>

<file path=xl/worksheets/sheet25.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11.421875" defaultRowHeight="12.75"/>
  <cols>
    <col min="1" max="1" width="35.7109375" style="16" customWidth="1"/>
    <col min="2" max="6" width="8.7109375" style="16" customWidth="1"/>
    <col min="7" max="16384" width="11.421875" style="16" customWidth="1"/>
  </cols>
  <sheetData>
    <row r="1" spans="1:6" ht="12.75">
      <c r="A1" s="152" t="str">
        <f>+VENTAS!A1</f>
        <v>AFIC - Ejercicio de Aplicación 2</v>
      </c>
      <c r="B1" s="42"/>
      <c r="C1" s="42"/>
      <c r="D1" s="42"/>
      <c r="E1" s="42"/>
      <c r="F1" s="42"/>
    </row>
    <row r="2" spans="1:6" ht="12.75">
      <c r="A2" s="152" t="str">
        <f>+VENTAS!A2</f>
        <v>BODEGAS ESMERALDA</v>
      </c>
      <c r="B2" s="42"/>
      <c r="C2" s="42"/>
      <c r="D2" s="42"/>
      <c r="E2" s="42"/>
      <c r="F2" s="42"/>
    </row>
    <row r="3" spans="1:6" ht="12.75">
      <c r="A3" s="42"/>
      <c r="B3" s="42"/>
      <c r="C3" s="42"/>
      <c r="D3" s="42"/>
      <c r="E3" s="42"/>
      <c r="F3" s="42"/>
    </row>
    <row r="4" spans="1:6" ht="12.75">
      <c r="A4" s="68" t="s">
        <v>290</v>
      </c>
      <c r="B4" s="69"/>
      <c r="C4" s="69"/>
      <c r="D4" s="69"/>
      <c r="E4" s="69"/>
      <c r="F4" s="69"/>
    </row>
    <row r="5" spans="1:6" ht="12.75">
      <c r="A5" s="89"/>
      <c r="B5" s="71">
        <v>1996</v>
      </c>
      <c r="C5" s="71">
        <v>1997</v>
      </c>
      <c r="D5" s="71">
        <v>1998</v>
      </c>
      <c r="E5" s="71">
        <v>1999</v>
      </c>
      <c r="F5" s="71">
        <v>2000</v>
      </c>
    </row>
    <row r="6" spans="1:6" ht="12.75">
      <c r="A6" s="72" t="s">
        <v>291</v>
      </c>
      <c r="B6" s="73">
        <f>+'EST PATRIM'!B10</f>
        <v>9623</v>
      </c>
      <c r="C6" s="73">
        <f>+'EST PATRIM'!C10</f>
        <v>9152</v>
      </c>
      <c r="D6" s="73">
        <f>+'EST PATRIM'!D10</f>
        <v>12827</v>
      </c>
      <c r="E6" s="73">
        <f>+'EST PATRIM'!E10</f>
        <v>15433</v>
      </c>
      <c r="F6" s="73">
        <f>+'EST PATRIM'!F10</f>
        <v>20351</v>
      </c>
    </row>
    <row r="7" spans="1:6" ht="12.75">
      <c r="A7" s="72" t="s">
        <v>292</v>
      </c>
      <c r="B7" s="76">
        <f>+'EST PATRIM'!B22</f>
        <v>5584</v>
      </c>
      <c r="C7" s="76">
        <f>+'EST PATRIM'!C22</f>
        <v>4746</v>
      </c>
      <c r="D7" s="76">
        <f>+'EST PATRIM'!D22</f>
        <v>8586</v>
      </c>
      <c r="E7" s="76">
        <f>+'EST PATRIM'!E22</f>
        <v>11368</v>
      </c>
      <c r="F7" s="76">
        <f>+'EST PATRIM'!F22</f>
        <v>17138</v>
      </c>
    </row>
    <row r="8" spans="1:6" ht="12.75">
      <c r="A8" s="80" t="s">
        <v>305</v>
      </c>
      <c r="B8" s="73">
        <f>+B6-B7</f>
        <v>4039</v>
      </c>
      <c r="C8" s="73">
        <f>+C6-C7</f>
        <v>4406</v>
      </c>
      <c r="D8" s="73">
        <f>+D6-D7</f>
        <v>4241</v>
      </c>
      <c r="E8" s="73">
        <f>+E6-E7</f>
        <v>4065</v>
      </c>
      <c r="F8" s="73">
        <f>+F6-F7</f>
        <v>3213</v>
      </c>
    </row>
    <row r="9" spans="1:6" ht="12.75">
      <c r="A9" s="94" t="s">
        <v>293</v>
      </c>
      <c r="B9" s="104">
        <f>+B8/'EST RESULT'!B6</f>
        <v>0.23120957124048314</v>
      </c>
      <c r="C9" s="104">
        <f>+C8/'EST RESULT'!C6</f>
        <v>0.22377977550916756</v>
      </c>
      <c r="D9" s="104">
        <f>+D8/'EST RESULT'!D6</f>
        <v>0.18107681140856496</v>
      </c>
      <c r="E9" s="104">
        <f>+E8/'EST RESULT'!E6</f>
        <v>0.14291238925608213</v>
      </c>
      <c r="F9" s="104">
        <f>+F8/'EST RESULT'!F6</f>
        <v>0.09589899713467048</v>
      </c>
    </row>
    <row r="10" spans="1:6" ht="12.75">
      <c r="A10" s="69"/>
      <c r="B10" s="69"/>
      <c r="C10" s="69"/>
      <c r="D10" s="69"/>
      <c r="E10" s="69"/>
      <c r="F10" s="69"/>
    </row>
    <row r="11" spans="1:6" ht="12.75">
      <c r="A11" s="89" t="s">
        <v>29</v>
      </c>
      <c r="B11" s="141">
        <f>+'EST PATRIM'!B7</f>
        <v>5622</v>
      </c>
      <c r="C11" s="141">
        <f>+'EST PATRIM'!C7</f>
        <v>5002</v>
      </c>
      <c r="D11" s="141">
        <f>+'EST PATRIM'!D7</f>
        <v>7026</v>
      </c>
      <c r="E11" s="141">
        <f>+'EST PATRIM'!E7</f>
        <v>7689</v>
      </c>
      <c r="F11" s="141">
        <f>+'EST PATRIM'!F7</f>
        <v>10799</v>
      </c>
    </row>
    <row r="12" spans="1:6" ht="12.75">
      <c r="A12" s="72" t="s">
        <v>27</v>
      </c>
      <c r="B12" s="73">
        <f>+'EST PATRIM'!B9</f>
        <v>1512</v>
      </c>
      <c r="C12" s="73">
        <f>+'EST PATRIM'!C9</f>
        <v>2108</v>
      </c>
      <c r="D12" s="73">
        <f>+'EST PATRIM'!D9</f>
        <v>3242</v>
      </c>
      <c r="E12" s="73">
        <f>+'EST PATRIM'!E9</f>
        <v>4837</v>
      </c>
      <c r="F12" s="73">
        <f>+'EST PATRIM'!F9</f>
        <v>6640</v>
      </c>
    </row>
    <row r="13" spans="1:6" ht="12.75">
      <c r="A13" s="72" t="s">
        <v>294</v>
      </c>
      <c r="B13" s="161">
        <f>+B11+B12</f>
        <v>7134</v>
      </c>
      <c r="C13" s="161">
        <f>+C11+C12</f>
        <v>7110</v>
      </c>
      <c r="D13" s="161">
        <f>+D11+D12</f>
        <v>10268</v>
      </c>
      <c r="E13" s="161">
        <f>+E11+E12</f>
        <v>12526</v>
      </c>
      <c r="F13" s="161">
        <f>+F11+F12</f>
        <v>17439</v>
      </c>
    </row>
    <row r="14" spans="1:6" ht="12.75">
      <c r="A14" s="72" t="s">
        <v>295</v>
      </c>
      <c r="B14" s="73">
        <f>+'EST PATRIM'!B17</f>
        <v>3870</v>
      </c>
      <c r="C14" s="73">
        <f>+'EST PATRIM'!C17</f>
        <v>3535</v>
      </c>
      <c r="D14" s="73">
        <f>+'EST PATRIM'!D17</f>
        <v>5727</v>
      </c>
      <c r="E14" s="73">
        <f>+'EST PATRIM'!E17</f>
        <v>6103</v>
      </c>
      <c r="F14" s="73">
        <f>+'EST PATRIM'!F17</f>
        <v>7576</v>
      </c>
    </row>
    <row r="15" spans="1:6" ht="12.75">
      <c r="A15" s="72" t="s">
        <v>306</v>
      </c>
      <c r="B15" s="73">
        <f>+'EST PATRIM'!B19</f>
        <v>152</v>
      </c>
      <c r="C15" s="73">
        <f>+'EST PATRIM'!C19</f>
        <v>148</v>
      </c>
      <c r="D15" s="73">
        <f>+'EST PATRIM'!D19</f>
        <v>166</v>
      </c>
      <c r="E15" s="73">
        <f>+'EST PATRIM'!E19</f>
        <v>180</v>
      </c>
      <c r="F15" s="73">
        <f>+'EST PATRIM'!F19</f>
        <v>237</v>
      </c>
    </row>
    <row r="16" spans="1:6" ht="12.75">
      <c r="A16" s="72" t="s">
        <v>16</v>
      </c>
      <c r="B16" s="73">
        <f>+'EST PATRIM'!B20</f>
        <v>1562</v>
      </c>
      <c r="C16" s="73">
        <f>+'EST PATRIM'!C20</f>
        <v>1063</v>
      </c>
      <c r="D16" s="73">
        <f>+'EST PATRIM'!D20</f>
        <v>1026</v>
      </c>
      <c r="E16" s="73">
        <f>+'EST PATRIM'!E20</f>
        <v>1315</v>
      </c>
      <c r="F16" s="73">
        <f>+'EST PATRIM'!F20</f>
        <v>1649</v>
      </c>
    </row>
    <row r="17" spans="1:6" ht="12.75">
      <c r="A17" s="72" t="s">
        <v>296</v>
      </c>
      <c r="B17" s="161">
        <f>+B14+B15+B16</f>
        <v>5584</v>
      </c>
      <c r="C17" s="161">
        <f>+C14+C15+C16</f>
        <v>4746</v>
      </c>
      <c r="D17" s="161">
        <f>+D14+D15+D16</f>
        <v>6919</v>
      </c>
      <c r="E17" s="161">
        <f>+E14+E15+E16</f>
        <v>7598</v>
      </c>
      <c r="F17" s="161">
        <f>+F14+F15+F16</f>
        <v>9462</v>
      </c>
    </row>
    <row r="18" spans="1:6" ht="12.75">
      <c r="A18" s="80" t="s">
        <v>297</v>
      </c>
      <c r="B18" s="73">
        <f>+B13-B17</f>
        <v>1550</v>
      </c>
      <c r="C18" s="73">
        <f>+C13-C17</f>
        <v>2364</v>
      </c>
      <c r="D18" s="73">
        <f>+D13-D17</f>
        <v>3349</v>
      </c>
      <c r="E18" s="73">
        <f>+E13-E17</f>
        <v>4928</v>
      </c>
      <c r="F18" s="73">
        <f>+F13-F17</f>
        <v>7977</v>
      </c>
    </row>
    <row r="19" spans="1:6" ht="12.75">
      <c r="A19" s="94" t="s">
        <v>298</v>
      </c>
      <c r="B19" s="104">
        <f>+B18/'EST RESULT'!B6</f>
        <v>0.08872860495735302</v>
      </c>
      <c r="C19" s="104">
        <f>+C18/'EST RESULT'!C6</f>
        <v>0.12006704251104677</v>
      </c>
      <c r="D19" s="104">
        <f>+D18/'EST RESULT'!D6</f>
        <v>0.14299133256479227</v>
      </c>
      <c r="E19" s="104">
        <f>+E18/'EST RESULT'!E6</f>
        <v>0.17325270707354803</v>
      </c>
      <c r="F19" s="104">
        <f>+F18/'EST RESULT'!F6</f>
        <v>0.23809097421203437</v>
      </c>
    </row>
    <row r="20" spans="1:6" ht="12.75">
      <c r="A20" s="69"/>
      <c r="B20" s="69"/>
      <c r="C20" s="69"/>
      <c r="D20" s="69"/>
      <c r="E20" s="69"/>
      <c r="F20" s="69"/>
    </row>
    <row r="21" spans="1:6" ht="12.75">
      <c r="A21" s="89" t="s">
        <v>299</v>
      </c>
      <c r="B21" s="141">
        <f>+'EST PATRIM'!B6</f>
        <v>1703</v>
      </c>
      <c r="C21" s="141">
        <f>+'EST PATRIM'!C6</f>
        <v>635</v>
      </c>
      <c r="D21" s="141">
        <f>+'EST PATRIM'!D6</f>
        <v>1506</v>
      </c>
      <c r="E21" s="141">
        <f>+'EST PATRIM'!E6</f>
        <v>1424</v>
      </c>
      <c r="F21" s="141">
        <f>+'EST PATRIM'!F6</f>
        <v>1344</v>
      </c>
    </row>
    <row r="22" spans="1:6" ht="12.75">
      <c r="A22" s="72" t="s">
        <v>28</v>
      </c>
      <c r="B22" s="73">
        <f>+'EST PATRIM'!B8</f>
        <v>786</v>
      </c>
      <c r="C22" s="73">
        <f>+'EST PATRIM'!C8</f>
        <v>1407</v>
      </c>
      <c r="D22" s="73">
        <f>+'EST PATRIM'!D8</f>
        <v>1053</v>
      </c>
      <c r="E22" s="73">
        <f>+'EST PATRIM'!E8</f>
        <v>1483</v>
      </c>
      <c r="F22" s="73">
        <f>+'EST PATRIM'!F8</f>
        <v>1568</v>
      </c>
    </row>
    <row r="23" spans="1:6" ht="12.75">
      <c r="A23" s="72" t="s">
        <v>300</v>
      </c>
      <c r="B23" s="161">
        <f>+B21+B22</f>
        <v>2489</v>
      </c>
      <c r="C23" s="161">
        <f>+C21+C22</f>
        <v>2042</v>
      </c>
      <c r="D23" s="161">
        <f>+D21+D22</f>
        <v>2559</v>
      </c>
      <c r="E23" s="161">
        <f>+E21+E22</f>
        <v>2907</v>
      </c>
      <c r="F23" s="161">
        <f>+F21+F22</f>
        <v>2912</v>
      </c>
    </row>
    <row r="24" spans="1:6" ht="12.75">
      <c r="A24" s="72" t="s">
        <v>301</v>
      </c>
      <c r="B24" s="73">
        <f>+'EST PATRIM'!B18</f>
        <v>0</v>
      </c>
      <c r="C24" s="73">
        <f>+'EST PATRIM'!C18</f>
        <v>0</v>
      </c>
      <c r="D24" s="73">
        <f>+'EST PATRIM'!D18</f>
        <v>1667</v>
      </c>
      <c r="E24" s="73">
        <f>+'EST PATRIM'!E18</f>
        <v>3770</v>
      </c>
      <c r="F24" s="73">
        <f>+'EST PATRIM'!F18</f>
        <v>6598</v>
      </c>
    </row>
    <row r="25" spans="1:6" ht="12.75">
      <c r="A25" s="72" t="s">
        <v>302</v>
      </c>
      <c r="B25" s="73">
        <f>+'EST PATRIM'!B21</f>
        <v>0</v>
      </c>
      <c r="C25" s="73">
        <f>+'EST PATRIM'!C21</f>
        <v>0</v>
      </c>
      <c r="D25" s="73">
        <f>+'EST PATRIM'!D21</f>
        <v>0</v>
      </c>
      <c r="E25" s="73">
        <f>+'EST PATRIM'!E21</f>
        <v>0</v>
      </c>
      <c r="F25" s="73">
        <f>+'EST PATRIM'!F21</f>
        <v>1078</v>
      </c>
    </row>
    <row r="26" spans="1:6" ht="12.75">
      <c r="A26" s="72" t="s">
        <v>303</v>
      </c>
      <c r="B26" s="161">
        <f>+B24+B25</f>
        <v>0</v>
      </c>
      <c r="C26" s="161">
        <f>+C24+C25</f>
        <v>0</v>
      </c>
      <c r="D26" s="161">
        <f>+D24+D25</f>
        <v>1667</v>
      </c>
      <c r="E26" s="161">
        <f>+E24+E25</f>
        <v>3770</v>
      </c>
      <c r="F26" s="161">
        <f>+F24+F25</f>
        <v>7676</v>
      </c>
    </row>
    <row r="27" spans="1:6" ht="12.75">
      <c r="A27" s="94" t="s">
        <v>304</v>
      </c>
      <c r="B27" s="82">
        <f>+B23-B26</f>
        <v>2489</v>
      </c>
      <c r="C27" s="82">
        <f>+C23-C26</f>
        <v>2042</v>
      </c>
      <c r="D27" s="82">
        <f>+D23-D26</f>
        <v>892</v>
      </c>
      <c r="E27" s="82">
        <f>+E23-E26</f>
        <v>-863</v>
      </c>
      <c r="F27" s="82">
        <f>+F23-F26</f>
        <v>-4764</v>
      </c>
    </row>
    <row r="29" spans="2:6" ht="12.75">
      <c r="B29" s="157"/>
      <c r="C29" s="157"/>
      <c r="D29" s="157"/>
      <c r="E29" s="157"/>
      <c r="F29" s="157"/>
    </row>
  </sheetData>
  <sheetProtection sheet="1" objects="1" scenarios="1"/>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11.421875" defaultRowHeight="12.75"/>
  <cols>
    <col min="1" max="1" width="30.7109375" style="16" customWidth="1"/>
    <col min="2" max="6" width="8.7109375" style="16" customWidth="1"/>
    <col min="7" max="16384" width="11.421875" style="16" customWidth="1"/>
  </cols>
  <sheetData>
    <row r="1" spans="1:6" ht="12.75">
      <c r="A1" s="152" t="str">
        <f>+VENTAS!A1</f>
        <v>AFIC - Ejercicio de Aplicación 2</v>
      </c>
      <c r="B1" s="42"/>
      <c r="C1" s="42"/>
      <c r="D1" s="42"/>
      <c r="E1" s="42"/>
      <c r="F1" s="42"/>
    </row>
    <row r="2" spans="1:6" ht="12.75">
      <c r="A2" s="152" t="str">
        <f>+VENTAS!A2</f>
        <v>BODEGAS ESMERALDA</v>
      </c>
      <c r="B2" s="42"/>
      <c r="C2" s="42"/>
      <c r="D2" s="42"/>
      <c r="E2" s="42"/>
      <c r="F2" s="42"/>
    </row>
    <row r="3" spans="1:6" ht="12.75">
      <c r="A3" s="42"/>
      <c r="B3" s="42"/>
      <c r="C3" s="42"/>
      <c r="D3" s="42"/>
      <c r="E3" s="42"/>
      <c r="F3" s="42"/>
    </row>
    <row r="4" spans="1:6" ht="12.75">
      <c r="A4" s="77" t="s">
        <v>33</v>
      </c>
      <c r="B4" s="69" t="s">
        <v>32</v>
      </c>
      <c r="C4" s="69"/>
      <c r="D4" s="69"/>
      <c r="E4" s="69"/>
      <c r="F4" s="69"/>
    </row>
    <row r="5" spans="1:6" ht="12.75">
      <c r="A5" s="78" t="s">
        <v>31</v>
      </c>
      <c r="B5" s="71">
        <v>1996</v>
      </c>
      <c r="C5" s="71">
        <v>1997</v>
      </c>
      <c r="D5" s="71">
        <v>1998</v>
      </c>
      <c r="E5" s="71">
        <v>1999</v>
      </c>
      <c r="F5" s="79">
        <v>2000</v>
      </c>
    </row>
    <row r="6" spans="1:6" ht="12.75">
      <c r="A6" s="72" t="s">
        <v>30</v>
      </c>
      <c r="B6" s="73">
        <f>1323+380</f>
        <v>1703</v>
      </c>
      <c r="C6" s="73">
        <f>500+135</f>
        <v>635</v>
      </c>
      <c r="D6" s="73">
        <f>1205+301</f>
        <v>1506</v>
      </c>
      <c r="E6" s="73">
        <f>795+629</f>
        <v>1424</v>
      </c>
      <c r="F6" s="73">
        <f>1171+173</f>
        <v>1344</v>
      </c>
    </row>
    <row r="7" spans="1:6" ht="12.75">
      <c r="A7" s="72" t="s">
        <v>29</v>
      </c>
      <c r="B7" s="73">
        <f>5622</f>
        <v>5622</v>
      </c>
      <c r="C7" s="73">
        <f>5002</f>
        <v>5002</v>
      </c>
      <c r="D7" s="73">
        <f>7026</f>
        <v>7026</v>
      </c>
      <c r="E7" s="73">
        <f>7689</f>
        <v>7689</v>
      </c>
      <c r="F7" s="73">
        <f>10799</f>
        <v>10799</v>
      </c>
    </row>
    <row r="8" spans="1:6" ht="12.75">
      <c r="A8" s="72" t="s">
        <v>28</v>
      </c>
      <c r="B8" s="73">
        <v>786</v>
      </c>
      <c r="C8" s="73">
        <v>1407</v>
      </c>
      <c r="D8" s="73">
        <v>1053</v>
      </c>
      <c r="E8" s="73">
        <v>1483</v>
      </c>
      <c r="F8" s="73">
        <v>1568</v>
      </c>
    </row>
    <row r="9" spans="1:6" ht="12.75">
      <c r="A9" s="72" t="s">
        <v>27</v>
      </c>
      <c r="B9" s="73">
        <f>357+1155</f>
        <v>1512</v>
      </c>
      <c r="C9" s="73">
        <f>399+1709</f>
        <v>2108</v>
      </c>
      <c r="D9" s="73">
        <f>613+2629</f>
        <v>3242</v>
      </c>
      <c r="E9" s="73">
        <f>927+3910</f>
        <v>4837</v>
      </c>
      <c r="F9" s="73">
        <v>6640</v>
      </c>
    </row>
    <row r="10" spans="1:6" ht="12.75">
      <c r="A10" s="80" t="s">
        <v>26</v>
      </c>
      <c r="B10" s="81">
        <f>SUM(B6:B9)</f>
        <v>9623</v>
      </c>
      <c r="C10" s="81">
        <f>SUM(C6:C9)</f>
        <v>9152</v>
      </c>
      <c r="D10" s="81">
        <f>SUM(D6:D9)</f>
        <v>12827</v>
      </c>
      <c r="E10" s="81">
        <f>SUM(E6:E9)</f>
        <v>15433</v>
      </c>
      <c r="F10" s="81">
        <f>SUM(F6:F9)</f>
        <v>20351</v>
      </c>
    </row>
    <row r="11" spans="1:6" ht="12.75">
      <c r="A11" s="72" t="s">
        <v>25</v>
      </c>
      <c r="B11" s="73">
        <v>3787</v>
      </c>
      <c r="C11" s="73">
        <v>4866</v>
      </c>
      <c r="D11" s="73">
        <v>6826</v>
      </c>
      <c r="E11" s="73">
        <v>9414</v>
      </c>
      <c r="F11" s="73">
        <v>11897</v>
      </c>
    </row>
    <row r="12" spans="1:6" ht="12.75">
      <c r="A12" s="72" t="s">
        <v>24</v>
      </c>
      <c r="B12" s="73">
        <v>546</v>
      </c>
      <c r="C12" s="73">
        <v>736</v>
      </c>
      <c r="D12" s="73">
        <v>660</v>
      </c>
      <c r="E12" s="73">
        <v>855</v>
      </c>
      <c r="F12" s="73">
        <v>3142</v>
      </c>
    </row>
    <row r="13" spans="1:6" ht="12.75">
      <c r="A13" s="72" t="s">
        <v>23</v>
      </c>
      <c r="B13" s="73">
        <f>1290-867</f>
        <v>423</v>
      </c>
      <c r="C13" s="73">
        <f>1943-1320</f>
        <v>623</v>
      </c>
      <c r="D13" s="73">
        <f>2043-1375</f>
        <v>668</v>
      </c>
      <c r="E13" s="73">
        <f>2055-1375</f>
        <v>680</v>
      </c>
      <c r="F13" s="73">
        <f>2078-1375</f>
        <v>703</v>
      </c>
    </row>
    <row r="14" spans="1:6" ht="12.75">
      <c r="A14" s="80" t="s">
        <v>22</v>
      </c>
      <c r="B14" s="82">
        <f>SUM(B11:B13)</f>
        <v>4756</v>
      </c>
      <c r="C14" s="82">
        <f>SUM(C11:C13)</f>
        <v>6225</v>
      </c>
      <c r="D14" s="82">
        <f>SUM(D11:D13)</f>
        <v>8154</v>
      </c>
      <c r="E14" s="82">
        <f>SUM(E11:E13)</f>
        <v>10949</v>
      </c>
      <c r="F14" s="82">
        <f>SUM(F11:F13)</f>
        <v>15742</v>
      </c>
    </row>
    <row r="15" spans="1:6" ht="12.75">
      <c r="A15" s="83" t="s">
        <v>21</v>
      </c>
      <c r="B15" s="84">
        <f>+B10+B14</f>
        <v>14379</v>
      </c>
      <c r="C15" s="84">
        <f>+C10+C14</f>
        <v>15377</v>
      </c>
      <c r="D15" s="84">
        <f>+D10+D14</f>
        <v>20981</v>
      </c>
      <c r="E15" s="84">
        <f>+E10+E14</f>
        <v>26382</v>
      </c>
      <c r="F15" s="84">
        <f>+F10+F14</f>
        <v>36093</v>
      </c>
    </row>
    <row r="16" spans="1:6" ht="12.75">
      <c r="A16" s="85" t="s">
        <v>20</v>
      </c>
      <c r="B16" s="73"/>
      <c r="C16" s="73"/>
      <c r="D16" s="73"/>
      <c r="E16" s="72"/>
      <c r="F16" s="73"/>
    </row>
    <row r="17" spans="1:6" ht="12.75">
      <c r="A17" s="72" t="s">
        <v>19</v>
      </c>
      <c r="B17" s="73">
        <v>3870</v>
      </c>
      <c r="C17" s="73">
        <v>3535</v>
      </c>
      <c r="D17" s="73">
        <v>5727</v>
      </c>
      <c r="E17" s="73">
        <v>6103</v>
      </c>
      <c r="F17" s="73">
        <v>7576</v>
      </c>
    </row>
    <row r="18" spans="1:6" ht="12.75">
      <c r="A18" s="72" t="s">
        <v>18</v>
      </c>
      <c r="B18" s="73"/>
      <c r="C18" s="73"/>
      <c r="D18" s="73">
        <v>1667</v>
      </c>
      <c r="E18" s="73">
        <v>3770</v>
      </c>
      <c r="F18" s="73">
        <v>6598</v>
      </c>
    </row>
    <row r="19" spans="1:6" ht="12.75">
      <c r="A19" s="72" t="s">
        <v>17</v>
      </c>
      <c r="B19" s="73">
        <v>152</v>
      </c>
      <c r="C19" s="73">
        <v>148</v>
      </c>
      <c r="D19" s="73">
        <v>166</v>
      </c>
      <c r="E19" s="73">
        <v>180</v>
      </c>
      <c r="F19" s="73">
        <v>237</v>
      </c>
    </row>
    <row r="20" spans="1:6" ht="12.75">
      <c r="A20" s="72" t="s">
        <v>16</v>
      </c>
      <c r="B20" s="73">
        <v>1562</v>
      </c>
      <c r="C20" s="73">
        <v>1063</v>
      </c>
      <c r="D20" s="73">
        <v>1026</v>
      </c>
      <c r="E20" s="73">
        <v>1315</v>
      </c>
      <c r="F20" s="73">
        <v>1649</v>
      </c>
    </row>
    <row r="21" spans="1:6" ht="12.75">
      <c r="A21" s="72" t="s">
        <v>15</v>
      </c>
      <c r="B21" s="73"/>
      <c r="C21" s="73"/>
      <c r="D21" s="73"/>
      <c r="E21" s="73"/>
      <c r="F21" s="73">
        <v>1078</v>
      </c>
    </row>
    <row r="22" spans="1:6" ht="12.75">
      <c r="A22" s="80" t="s">
        <v>14</v>
      </c>
      <c r="B22" s="81">
        <f>SUM(B17:B20)</f>
        <v>5584</v>
      </c>
      <c r="C22" s="81">
        <f>SUM(C17:C20)</f>
        <v>4746</v>
      </c>
      <c r="D22" s="81">
        <f>SUM(D17:D20)</f>
        <v>8586</v>
      </c>
      <c r="E22" s="81">
        <f>SUM(E17:E20)</f>
        <v>11368</v>
      </c>
      <c r="F22" s="81">
        <f>SUM(F17:F21)</f>
        <v>17138</v>
      </c>
    </row>
    <row r="23" spans="1:6" ht="12.75">
      <c r="A23" s="80" t="s">
        <v>13</v>
      </c>
      <c r="B23" s="81">
        <f>+B22</f>
        <v>5584</v>
      </c>
      <c r="C23" s="81">
        <f>+C22</f>
        <v>4746</v>
      </c>
      <c r="D23" s="81">
        <f>+D22</f>
        <v>8586</v>
      </c>
      <c r="E23" s="81">
        <f>+E22</f>
        <v>11368</v>
      </c>
      <c r="F23" s="81">
        <f>+F22</f>
        <v>17138</v>
      </c>
    </row>
    <row r="24" spans="1:6" ht="12.75">
      <c r="A24" s="86" t="s">
        <v>12</v>
      </c>
      <c r="B24" s="87">
        <f>+B15-B22</f>
        <v>8795</v>
      </c>
      <c r="C24" s="87">
        <f>+C15-C22</f>
        <v>10631</v>
      </c>
      <c r="D24" s="87">
        <f>+D15-D22</f>
        <v>12395</v>
      </c>
      <c r="E24" s="87">
        <f>+E15-E22</f>
        <v>15014</v>
      </c>
      <c r="F24" s="87">
        <f>+F15-F22</f>
        <v>18955</v>
      </c>
    </row>
  </sheetData>
  <sheetProtection sheet="1" objects="1" scenarios="1"/>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11.421875" defaultRowHeight="12.75"/>
  <cols>
    <col min="1" max="1" width="35.7109375" style="16" customWidth="1"/>
    <col min="2" max="6" width="8.7109375" style="16" customWidth="1"/>
    <col min="7" max="16384" width="11.421875" style="16" customWidth="1"/>
  </cols>
  <sheetData>
    <row r="1" spans="1:6" ht="12.75">
      <c r="A1" s="152" t="str">
        <f>+VENTAS!A1</f>
        <v>AFIC - Ejercicio de Aplicación 2</v>
      </c>
      <c r="B1" s="42"/>
      <c r="C1" s="42"/>
      <c r="D1" s="42"/>
      <c r="E1" s="42"/>
      <c r="F1" s="42"/>
    </row>
    <row r="2" spans="1:6" ht="12.75">
      <c r="A2" s="152" t="str">
        <f>+VENTAS!A2</f>
        <v>BODEGAS ESMERALDA</v>
      </c>
      <c r="B2" s="42"/>
      <c r="C2" s="42"/>
      <c r="D2" s="42"/>
      <c r="E2" s="42"/>
      <c r="F2" s="42"/>
    </row>
    <row r="3" spans="1:6" ht="12.75">
      <c r="A3" s="42"/>
      <c r="B3" s="42"/>
      <c r="C3" s="42"/>
      <c r="D3" s="42"/>
      <c r="E3" s="42"/>
      <c r="F3" s="42"/>
    </row>
    <row r="4" spans="1:6" ht="12.75">
      <c r="A4" s="77" t="s">
        <v>46</v>
      </c>
      <c r="B4" s="88"/>
      <c r="C4" s="69"/>
      <c r="D4" s="69"/>
      <c r="E4" s="69"/>
      <c r="F4" s="69"/>
    </row>
    <row r="5" spans="1:6" ht="12.75">
      <c r="A5" s="89"/>
      <c r="B5" s="71">
        <v>1996</v>
      </c>
      <c r="C5" s="71">
        <v>1997</v>
      </c>
      <c r="D5" s="71">
        <v>1998</v>
      </c>
      <c r="E5" s="71">
        <v>1999</v>
      </c>
      <c r="F5" s="71">
        <v>2000</v>
      </c>
    </row>
    <row r="6" spans="1:6" ht="12.75">
      <c r="A6" s="72" t="s">
        <v>45</v>
      </c>
      <c r="B6" s="73">
        <f>17204+265</f>
        <v>17469</v>
      </c>
      <c r="C6" s="73">
        <f>19356+333</f>
        <v>19689</v>
      </c>
      <c r="D6" s="73">
        <f>23014+407</f>
        <v>23421</v>
      </c>
      <c r="E6" s="73">
        <f>27971+473</f>
        <v>28444</v>
      </c>
      <c r="F6" s="73">
        <f>32918+586</f>
        <v>33504</v>
      </c>
    </row>
    <row r="7" spans="1:6" ht="12.75">
      <c r="A7" s="72" t="s">
        <v>44</v>
      </c>
      <c r="B7" s="73">
        <v>-7894</v>
      </c>
      <c r="C7" s="73">
        <v>-10776</v>
      </c>
      <c r="D7" s="73">
        <v>-13380</v>
      </c>
      <c r="E7" s="73">
        <v>-14894</v>
      </c>
      <c r="F7" s="73">
        <v>-17802</v>
      </c>
    </row>
    <row r="8" spans="1:6" ht="12.75">
      <c r="A8" s="80" t="s">
        <v>43</v>
      </c>
      <c r="B8" s="81">
        <f>+B6+B7</f>
        <v>9575</v>
      </c>
      <c r="C8" s="81">
        <f>+C6+C7</f>
        <v>8913</v>
      </c>
      <c r="D8" s="81">
        <f>+D6+D7</f>
        <v>10041</v>
      </c>
      <c r="E8" s="81">
        <f>+E6+E7</f>
        <v>13550</v>
      </c>
      <c r="F8" s="81">
        <f>+F6+F7</f>
        <v>15702</v>
      </c>
    </row>
    <row r="9" spans="1:6" ht="12.75">
      <c r="A9" s="72" t="s">
        <v>42</v>
      </c>
      <c r="B9" s="73">
        <f>-4677-265</f>
        <v>-4942</v>
      </c>
      <c r="C9" s="73">
        <f>-5630+180+8-333</f>
        <v>-5775</v>
      </c>
      <c r="D9" s="73">
        <f>-6760-407</f>
        <v>-7167</v>
      </c>
      <c r="E9" s="73">
        <f>-7558-473</f>
        <v>-8031</v>
      </c>
      <c r="F9" s="73">
        <f>-8248-586</f>
        <v>-8834</v>
      </c>
    </row>
    <row r="10" spans="1:6" ht="12.75">
      <c r="A10" s="72" t="s">
        <v>41</v>
      </c>
      <c r="B10" s="73">
        <f>-792+24</f>
        <v>-768</v>
      </c>
      <c r="C10" s="73">
        <f>-710-9-27</f>
        <v>-746</v>
      </c>
      <c r="D10" s="73">
        <v>-841</v>
      </c>
      <c r="E10" s="73">
        <v>-763</v>
      </c>
      <c r="F10" s="73">
        <v>-827</v>
      </c>
    </row>
    <row r="11" spans="1:6" ht="12.75">
      <c r="A11" s="72" t="s">
        <v>40</v>
      </c>
      <c r="B11" s="73">
        <v>698</v>
      </c>
      <c r="C11" s="73">
        <v>-23</v>
      </c>
      <c r="D11" s="73">
        <v>10</v>
      </c>
      <c r="E11" s="73">
        <f>98+71+24</f>
        <v>193</v>
      </c>
      <c r="F11" s="73">
        <f>88-66+43</f>
        <v>65</v>
      </c>
    </row>
    <row r="12" spans="1:6" ht="12.75">
      <c r="A12" s="72" t="s">
        <v>39</v>
      </c>
      <c r="B12" s="73">
        <v>-38</v>
      </c>
      <c r="C12" s="73">
        <v>240</v>
      </c>
      <c r="D12" s="73">
        <v>732</v>
      </c>
      <c r="E12" s="73">
        <v>-835</v>
      </c>
      <c r="F12" s="73">
        <v>-84</v>
      </c>
    </row>
    <row r="13" spans="1:6" ht="12.75">
      <c r="A13" s="72" t="s">
        <v>35</v>
      </c>
      <c r="B13" s="73">
        <f>-198+113</f>
        <v>-85</v>
      </c>
      <c r="C13" s="73">
        <f>236-11-180</f>
        <v>45</v>
      </c>
      <c r="D13" s="73">
        <f>1-112</f>
        <v>-111</v>
      </c>
      <c r="E13" s="73">
        <f>20-347</f>
        <v>-327</v>
      </c>
      <c r="F13" s="73">
        <f>44-617</f>
        <v>-573</v>
      </c>
    </row>
    <row r="14" spans="1:6" ht="12.75">
      <c r="A14" s="83" t="s">
        <v>38</v>
      </c>
      <c r="B14" s="90">
        <f>SUM(B8:B13)</f>
        <v>4440</v>
      </c>
      <c r="C14" s="90">
        <f>SUM(C8:C13)</f>
        <v>2654</v>
      </c>
      <c r="D14" s="90">
        <f>SUM(D8:D13)</f>
        <v>2664</v>
      </c>
      <c r="E14" s="90">
        <f>SUM(E8:E13)</f>
        <v>3787</v>
      </c>
      <c r="F14" s="90">
        <f>SUM(F8:F13)</f>
        <v>5449</v>
      </c>
    </row>
    <row r="15" spans="1:6" ht="12.75">
      <c r="A15" s="72" t="s">
        <v>37</v>
      </c>
      <c r="B15" s="76">
        <v>-1300</v>
      </c>
      <c r="C15" s="76">
        <f>-900+82</f>
        <v>-818</v>
      </c>
      <c r="D15" s="76">
        <v>-900</v>
      </c>
      <c r="E15" s="76">
        <v>-1168</v>
      </c>
      <c r="F15" s="76">
        <v>-1508</v>
      </c>
    </row>
    <row r="16" spans="1:6" ht="12.75">
      <c r="A16" s="86" t="s">
        <v>36</v>
      </c>
      <c r="B16" s="87">
        <f>+B14+B15</f>
        <v>3140</v>
      </c>
      <c r="C16" s="87">
        <f>+C14+C15</f>
        <v>1836</v>
      </c>
      <c r="D16" s="87">
        <f>+D14+D15</f>
        <v>1764</v>
      </c>
      <c r="E16" s="87">
        <f>+E14+E15</f>
        <v>2619</v>
      </c>
      <c r="F16" s="87">
        <f>+F14+F15</f>
        <v>3941</v>
      </c>
    </row>
    <row r="17" spans="1:6" ht="12.75">
      <c r="A17" s="91"/>
      <c r="B17" s="92"/>
      <c r="C17" s="92"/>
      <c r="D17" s="92"/>
      <c r="E17" s="92"/>
      <c r="F17" s="92"/>
    </row>
    <row r="18" spans="1:6" ht="12.75">
      <c r="A18" s="91"/>
      <c r="B18" s="92"/>
      <c r="C18" s="92"/>
      <c r="D18" s="92"/>
      <c r="E18" s="92"/>
      <c r="F18" s="92"/>
    </row>
    <row r="19" spans="1:6" ht="12.75">
      <c r="A19" s="93" t="s">
        <v>35</v>
      </c>
      <c r="B19" s="71">
        <v>1996</v>
      </c>
      <c r="C19" s="71">
        <v>1997</v>
      </c>
      <c r="D19" s="71">
        <v>1998</v>
      </c>
      <c r="E19" s="71">
        <v>1999</v>
      </c>
      <c r="F19" s="71">
        <v>2000</v>
      </c>
    </row>
    <row r="20" spans="1:6" ht="12.75">
      <c r="A20" s="72" t="s">
        <v>251</v>
      </c>
      <c r="B20" s="73">
        <v>240</v>
      </c>
      <c r="C20" s="73">
        <v>345</v>
      </c>
      <c r="D20" s="73">
        <v>328</v>
      </c>
      <c r="E20" s="73">
        <v>289</v>
      </c>
      <c r="F20" s="73">
        <v>45</v>
      </c>
    </row>
    <row r="21" spans="1:6" ht="12.75">
      <c r="A21" s="72" t="s">
        <v>250</v>
      </c>
      <c r="B21" s="73">
        <f>-308+22</f>
        <v>-286</v>
      </c>
      <c r="C21" s="73">
        <v>-245</v>
      </c>
      <c r="D21" s="73">
        <v>-304</v>
      </c>
      <c r="E21" s="73">
        <v>-331</v>
      </c>
      <c r="F21" s="73">
        <v>-43</v>
      </c>
    </row>
    <row r="22" spans="1:6" ht="12.75">
      <c r="A22" s="72" t="s">
        <v>249</v>
      </c>
      <c r="B22" s="76">
        <v>-39</v>
      </c>
      <c r="C22" s="76">
        <v>-55</v>
      </c>
      <c r="D22" s="76">
        <v>-135</v>
      </c>
      <c r="E22" s="76">
        <v>-285</v>
      </c>
      <c r="F22" s="76">
        <v>-575</v>
      </c>
    </row>
    <row r="23" spans="1:6" ht="12.75">
      <c r="A23" s="94" t="s">
        <v>34</v>
      </c>
      <c r="B23" s="82">
        <f>SUM(B20:B22)</f>
        <v>-85</v>
      </c>
      <c r="C23" s="82">
        <f>SUM(C20:C22)</f>
        <v>45</v>
      </c>
      <c r="D23" s="82">
        <f>SUM(D20:D22)</f>
        <v>-111</v>
      </c>
      <c r="E23" s="82">
        <f>SUM(E20:E22)</f>
        <v>-327</v>
      </c>
      <c r="F23" s="82">
        <f>SUM(F20:F22)</f>
        <v>-573</v>
      </c>
    </row>
  </sheetData>
  <sheetProtection sheet="1" objects="1" scenarios="1"/>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11.421875" defaultRowHeight="12.75"/>
  <cols>
    <col min="1" max="1" width="32.7109375" style="16" customWidth="1"/>
    <col min="2" max="6" width="8.7109375" style="16" customWidth="1"/>
    <col min="7" max="16384" width="11.421875" style="16" customWidth="1"/>
  </cols>
  <sheetData>
    <row r="1" spans="1:6" ht="12.75">
      <c r="A1" s="152" t="str">
        <f>+VENTAS!A1</f>
        <v>AFIC - Ejercicio de Aplicación 2</v>
      </c>
      <c r="B1" s="42"/>
      <c r="C1" s="42"/>
      <c r="D1" s="42"/>
      <c r="E1" s="42"/>
      <c r="F1" s="42"/>
    </row>
    <row r="2" spans="1:6" ht="12.75">
      <c r="A2" s="152" t="str">
        <f>+VENTAS!A2</f>
        <v>BODEGAS ESMERALDA</v>
      </c>
      <c r="B2" s="42"/>
      <c r="C2" s="42"/>
      <c r="D2" s="42"/>
      <c r="E2" s="42"/>
      <c r="F2" s="42"/>
    </row>
    <row r="3" spans="1:6" ht="12.75">
      <c r="A3" s="42"/>
      <c r="B3" s="42"/>
      <c r="C3" s="42"/>
      <c r="D3" s="42"/>
      <c r="E3" s="42"/>
      <c r="F3" s="42"/>
    </row>
    <row r="4" spans="1:6" ht="12.75">
      <c r="A4" s="68" t="s">
        <v>55</v>
      </c>
      <c r="B4" s="69"/>
      <c r="C4" s="69"/>
      <c r="D4" s="69"/>
      <c r="E4" s="69"/>
      <c r="F4" s="69"/>
    </row>
    <row r="5" spans="1:6" ht="12.75">
      <c r="A5" s="78" t="s">
        <v>31</v>
      </c>
      <c r="B5" s="71">
        <v>1996</v>
      </c>
      <c r="C5" s="71">
        <v>1997</v>
      </c>
      <c r="D5" s="71">
        <v>1998</v>
      </c>
      <c r="E5" s="71">
        <v>1999</v>
      </c>
      <c r="F5" s="79">
        <v>2000</v>
      </c>
    </row>
    <row r="6" spans="1:6" ht="12.75">
      <c r="A6" s="72" t="s">
        <v>30</v>
      </c>
      <c r="B6" s="73">
        <f>1323+380</f>
        <v>1703</v>
      </c>
      <c r="C6" s="73">
        <f>500+135</f>
        <v>635</v>
      </c>
      <c r="D6" s="73">
        <f>1205+301</f>
        <v>1506</v>
      </c>
      <c r="E6" s="73">
        <f>795+629</f>
        <v>1424</v>
      </c>
      <c r="F6" s="73">
        <f>1171+173</f>
        <v>1344</v>
      </c>
    </row>
    <row r="7" spans="1:6" ht="12.75">
      <c r="A7" s="72" t="s">
        <v>29</v>
      </c>
      <c r="B7" s="73">
        <f>5622</f>
        <v>5622</v>
      </c>
      <c r="C7" s="73">
        <f>5002</f>
        <v>5002</v>
      </c>
      <c r="D7" s="73">
        <f>7026</f>
        <v>7026</v>
      </c>
      <c r="E7" s="73">
        <f>7689</f>
        <v>7689</v>
      </c>
      <c r="F7" s="73">
        <f>10799</f>
        <v>10799</v>
      </c>
    </row>
    <row r="8" spans="1:6" ht="12.75">
      <c r="A8" s="72" t="s">
        <v>28</v>
      </c>
      <c r="B8" s="73">
        <v>786</v>
      </c>
      <c r="C8" s="73">
        <v>1407</v>
      </c>
      <c r="D8" s="73">
        <v>1053</v>
      </c>
      <c r="E8" s="73">
        <v>1483</v>
      </c>
      <c r="F8" s="73">
        <v>1568</v>
      </c>
    </row>
    <row r="9" spans="1:6" ht="12.75">
      <c r="A9" s="72" t="s">
        <v>27</v>
      </c>
      <c r="B9" s="73">
        <f>357+1155</f>
        <v>1512</v>
      </c>
      <c r="C9" s="73">
        <f>399+1709</f>
        <v>2108</v>
      </c>
      <c r="D9" s="73">
        <f>613+2629</f>
        <v>3242</v>
      </c>
      <c r="E9" s="73">
        <f>927+3910</f>
        <v>4837</v>
      </c>
      <c r="F9" s="73">
        <v>6640</v>
      </c>
    </row>
    <row r="10" spans="1:6" ht="12.75">
      <c r="A10" s="80" t="s">
        <v>54</v>
      </c>
      <c r="B10" s="81">
        <f>SUM(B6:B9)</f>
        <v>9623</v>
      </c>
      <c r="C10" s="81">
        <f>SUM(C6:C9)</f>
        <v>9152</v>
      </c>
      <c r="D10" s="81">
        <f>SUM(D6:D9)</f>
        <v>12827</v>
      </c>
      <c r="E10" s="81">
        <f>SUM(E6:E9)</f>
        <v>15433</v>
      </c>
      <c r="F10" s="81">
        <f>SUM(F6:F9)</f>
        <v>20351</v>
      </c>
    </row>
    <row r="11" spans="1:6" ht="12.75">
      <c r="A11" s="72" t="s">
        <v>25</v>
      </c>
      <c r="B11" s="73">
        <v>3787</v>
      </c>
      <c r="C11" s="73">
        <v>4866</v>
      </c>
      <c r="D11" s="73">
        <v>6826</v>
      </c>
      <c r="E11" s="73">
        <v>9414</v>
      </c>
      <c r="F11" s="73">
        <v>11897</v>
      </c>
    </row>
    <row r="12" spans="1:6" ht="12.75">
      <c r="A12" s="72" t="s">
        <v>24</v>
      </c>
      <c r="B12" s="73">
        <v>546</v>
      </c>
      <c r="C12" s="73">
        <v>736</v>
      </c>
      <c r="D12" s="73">
        <v>660</v>
      </c>
      <c r="E12" s="73">
        <v>855</v>
      </c>
      <c r="F12" s="73">
        <v>3142</v>
      </c>
    </row>
    <row r="13" spans="1:6" ht="12.75">
      <c r="A13" s="72" t="s">
        <v>23</v>
      </c>
      <c r="B13" s="73">
        <f>1290-867</f>
        <v>423</v>
      </c>
      <c r="C13" s="73">
        <f>1943-1320</f>
        <v>623</v>
      </c>
      <c r="D13" s="73">
        <f>2043-1375</f>
        <v>668</v>
      </c>
      <c r="E13" s="73">
        <f>2055-1375</f>
        <v>680</v>
      </c>
      <c r="F13" s="73">
        <f>2078-1375</f>
        <v>703</v>
      </c>
    </row>
    <row r="14" spans="1:6" ht="12.75">
      <c r="A14" s="80" t="s">
        <v>53</v>
      </c>
      <c r="B14" s="82">
        <f>SUM(B11:B13)</f>
        <v>4756</v>
      </c>
      <c r="C14" s="82">
        <f>SUM(C11:C13)</f>
        <v>6225</v>
      </c>
      <c r="D14" s="82">
        <f>SUM(D11:D13)</f>
        <v>8154</v>
      </c>
      <c r="E14" s="82">
        <f>SUM(E11:E13)</f>
        <v>10949</v>
      </c>
      <c r="F14" s="82">
        <f>SUM(F11:F13)</f>
        <v>15742</v>
      </c>
    </row>
    <row r="15" spans="1:6" ht="12.75">
      <c r="A15" s="83" t="s">
        <v>52</v>
      </c>
      <c r="B15" s="84">
        <f>+B10+B14</f>
        <v>14379</v>
      </c>
      <c r="C15" s="84">
        <f>+C10+C14</f>
        <v>15377</v>
      </c>
      <c r="D15" s="84">
        <f>+D10+D14</f>
        <v>20981</v>
      </c>
      <c r="E15" s="84">
        <f>+E10+E14</f>
        <v>26382</v>
      </c>
      <c r="F15" s="84">
        <f>+F10+F14</f>
        <v>36093</v>
      </c>
    </row>
    <row r="16" spans="1:6" ht="12.75">
      <c r="A16" s="85" t="s">
        <v>20</v>
      </c>
      <c r="B16" s="73"/>
      <c r="C16" s="73"/>
      <c r="D16" s="73"/>
      <c r="E16" s="72"/>
      <c r="F16" s="73"/>
    </row>
    <row r="17" spans="1:6" ht="12.75">
      <c r="A17" s="72" t="s">
        <v>19</v>
      </c>
      <c r="B17" s="73">
        <v>3870</v>
      </c>
      <c r="C17" s="73">
        <v>3535</v>
      </c>
      <c r="D17" s="73">
        <v>5727</v>
      </c>
      <c r="E17" s="73">
        <v>6103</v>
      </c>
      <c r="F17" s="73">
        <v>7576</v>
      </c>
    </row>
    <row r="18" spans="1:6" ht="12.75">
      <c r="A18" s="72" t="s">
        <v>17</v>
      </c>
      <c r="B18" s="73">
        <v>152</v>
      </c>
      <c r="C18" s="73">
        <v>148</v>
      </c>
      <c r="D18" s="73">
        <v>166</v>
      </c>
      <c r="E18" s="73">
        <v>180</v>
      </c>
      <c r="F18" s="73">
        <v>237</v>
      </c>
    </row>
    <row r="19" spans="1:6" ht="12.75">
      <c r="A19" s="72" t="s">
        <v>16</v>
      </c>
      <c r="B19" s="73">
        <v>1562</v>
      </c>
      <c r="C19" s="73">
        <v>1063</v>
      </c>
      <c r="D19" s="73">
        <v>1026</v>
      </c>
      <c r="E19" s="73">
        <v>1315</v>
      </c>
      <c r="F19" s="73">
        <v>1649</v>
      </c>
    </row>
    <row r="20" spans="1:6" ht="12.75">
      <c r="A20" s="80" t="s">
        <v>51</v>
      </c>
      <c r="B20" s="81">
        <f>SUM(B17:B19)</f>
        <v>5584</v>
      </c>
      <c r="C20" s="81">
        <f>SUM(C17:C19)</f>
        <v>4746</v>
      </c>
      <c r="D20" s="81">
        <f>SUM(D17:D19)</f>
        <v>6919</v>
      </c>
      <c r="E20" s="81">
        <f>SUM(E17:E19)</f>
        <v>7598</v>
      </c>
      <c r="F20" s="81">
        <f>SUM(F17:F19)</f>
        <v>9462</v>
      </c>
    </row>
    <row r="21" spans="1:6" ht="12.75">
      <c r="A21" s="72" t="s">
        <v>15</v>
      </c>
      <c r="B21" s="73"/>
      <c r="C21" s="73"/>
      <c r="D21" s="73"/>
      <c r="E21" s="73"/>
      <c r="F21" s="73">
        <v>1078</v>
      </c>
    </row>
    <row r="22" spans="1:6" ht="12.75">
      <c r="A22" s="72" t="s">
        <v>50</v>
      </c>
      <c r="B22" s="73">
        <f>+B21</f>
        <v>0</v>
      </c>
      <c r="C22" s="73">
        <f>+C21</f>
        <v>0</v>
      </c>
      <c r="D22" s="73">
        <f>+D21</f>
        <v>0</v>
      </c>
      <c r="E22" s="73">
        <f>+E21</f>
        <v>0</v>
      </c>
      <c r="F22" s="73">
        <f>+F21</f>
        <v>1078</v>
      </c>
    </row>
    <row r="23" spans="1:6" ht="12.75">
      <c r="A23" s="80" t="s">
        <v>49</v>
      </c>
      <c r="B23" s="81">
        <f>+B20+B22</f>
        <v>5584</v>
      </c>
      <c r="C23" s="81">
        <f>+C20+C22</f>
        <v>4746</v>
      </c>
      <c r="D23" s="81">
        <f>+D20+D22</f>
        <v>6919</v>
      </c>
      <c r="E23" s="81">
        <f>+E20+E22</f>
        <v>7598</v>
      </c>
      <c r="F23" s="81">
        <f>+F20+F22</f>
        <v>10540</v>
      </c>
    </row>
    <row r="24" spans="1:6" ht="12.75">
      <c r="A24" s="72" t="s">
        <v>18</v>
      </c>
      <c r="B24" s="73"/>
      <c r="C24" s="73"/>
      <c r="D24" s="73">
        <v>1667</v>
      </c>
      <c r="E24" s="73">
        <v>3770</v>
      </c>
      <c r="F24" s="73">
        <v>6598</v>
      </c>
    </row>
    <row r="25" spans="1:6" ht="12.75">
      <c r="A25" s="80" t="s">
        <v>48</v>
      </c>
      <c r="B25" s="81">
        <f>+B24</f>
        <v>0</v>
      </c>
      <c r="C25" s="81">
        <f>+C24</f>
        <v>0</v>
      </c>
      <c r="D25" s="81">
        <f>+D24</f>
        <v>1667</v>
      </c>
      <c r="E25" s="81">
        <f>+E24</f>
        <v>3770</v>
      </c>
      <c r="F25" s="81">
        <f>+F24</f>
        <v>6598</v>
      </c>
    </row>
    <row r="26" spans="1:6" ht="12.75">
      <c r="A26" s="80" t="s">
        <v>47</v>
      </c>
      <c r="B26" s="81">
        <f>+B23+B25</f>
        <v>5584</v>
      </c>
      <c r="C26" s="81">
        <f>+C23+C25</f>
        <v>4746</v>
      </c>
      <c r="D26" s="81">
        <f>+D23+D25</f>
        <v>8586</v>
      </c>
      <c r="E26" s="81">
        <f>+E23+E25</f>
        <v>11368</v>
      </c>
      <c r="F26" s="81">
        <f>+F23+F25</f>
        <v>17138</v>
      </c>
    </row>
    <row r="27" spans="1:6" ht="12.75">
      <c r="A27" s="86" t="s">
        <v>12</v>
      </c>
      <c r="B27" s="87">
        <f>+'EST PATRIM'!B24</f>
        <v>8795</v>
      </c>
      <c r="C27" s="87">
        <f>+'EST PATRIM'!C24</f>
        <v>10631</v>
      </c>
      <c r="D27" s="87">
        <f>+'EST PATRIM'!D24</f>
        <v>12395</v>
      </c>
      <c r="E27" s="87">
        <f>+'EST PATRIM'!E24</f>
        <v>15014</v>
      </c>
      <c r="F27" s="87">
        <f>+'EST PATRIM'!F24</f>
        <v>18955</v>
      </c>
    </row>
  </sheetData>
  <sheetProtection sheet="1" objects="1" scenarios="1"/>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11.421875" defaultRowHeight="12.75"/>
  <cols>
    <col min="1" max="1" width="38.7109375" style="16" customWidth="1"/>
    <col min="2" max="6" width="8.7109375" style="16" customWidth="1"/>
    <col min="7" max="16384" width="11.421875" style="16" customWidth="1"/>
  </cols>
  <sheetData>
    <row r="1" spans="1:5" ht="12.75">
      <c r="A1" s="152" t="str">
        <f>+VENTAS!A1</f>
        <v>AFIC - Ejercicio de Aplicación 2</v>
      </c>
      <c r="B1" s="42"/>
      <c r="C1" s="42"/>
      <c r="D1" s="42"/>
      <c r="E1" s="42"/>
    </row>
    <row r="2" spans="1:5" ht="12.75">
      <c r="A2" s="152" t="str">
        <f>+VENTAS!A2</f>
        <v>BODEGAS ESMERALDA</v>
      </c>
      <c r="B2" s="42"/>
      <c r="C2" s="42"/>
      <c r="D2" s="42"/>
      <c r="E2" s="42"/>
    </row>
    <row r="3" spans="1:6" ht="12.75">
      <c r="A3" s="42"/>
      <c r="B3" s="42"/>
      <c r="C3" s="42"/>
      <c r="D3" s="42"/>
      <c r="E3" s="42"/>
      <c r="F3" s="25" t="s">
        <v>252</v>
      </c>
    </row>
    <row r="4" spans="1:6" ht="12.75">
      <c r="A4" s="68" t="s">
        <v>71</v>
      </c>
      <c r="B4" s="69"/>
      <c r="C4" s="69"/>
      <c r="D4" s="69"/>
      <c r="E4" s="69"/>
      <c r="F4" s="17"/>
    </row>
    <row r="5" spans="1:6" ht="12.75">
      <c r="A5" s="89"/>
      <c r="B5" s="71">
        <v>1996</v>
      </c>
      <c r="C5" s="71">
        <v>1997</v>
      </c>
      <c r="D5" s="71">
        <v>1998</v>
      </c>
      <c r="E5" s="71">
        <v>1999</v>
      </c>
      <c r="F5" s="18">
        <v>2000</v>
      </c>
    </row>
    <row r="6" spans="1:6" ht="12.75">
      <c r="A6" s="72" t="s">
        <v>45</v>
      </c>
      <c r="B6" s="95">
        <f>+'EST RESULT'!B6</f>
        <v>17469</v>
      </c>
      <c r="C6" s="95">
        <f>+'EST RESULT'!C6</f>
        <v>19689</v>
      </c>
      <c r="D6" s="95">
        <f>+'EST RESULT'!D6</f>
        <v>23421</v>
      </c>
      <c r="E6" s="95">
        <f>+'EST RESULT'!E6</f>
        <v>28444</v>
      </c>
      <c r="F6" s="26"/>
    </row>
    <row r="7" spans="1:6" ht="12.75">
      <c r="A7" s="72" t="s">
        <v>44</v>
      </c>
      <c r="B7" s="95">
        <f>+'EST RESULT'!B7</f>
        <v>-7894</v>
      </c>
      <c r="C7" s="95">
        <f>+'EST RESULT'!C7</f>
        <v>-10776</v>
      </c>
      <c r="D7" s="95">
        <f>+'EST RESULT'!D7</f>
        <v>-13380</v>
      </c>
      <c r="E7" s="95">
        <f>+'EST RESULT'!E7</f>
        <v>-14894</v>
      </c>
      <c r="F7" s="26"/>
    </row>
    <row r="8" spans="1:6" ht="12.75">
      <c r="A8" s="80" t="s">
        <v>70</v>
      </c>
      <c r="B8" s="81">
        <f>+B6+B7</f>
        <v>9575</v>
      </c>
      <c r="C8" s="81">
        <f>+C6+C7</f>
        <v>8913</v>
      </c>
      <c r="D8" s="81">
        <f>+D6+D7</f>
        <v>10041</v>
      </c>
      <c r="E8" s="81">
        <f>+E6+E7</f>
        <v>13550</v>
      </c>
      <c r="F8" s="22"/>
    </row>
    <row r="9" spans="1:6" ht="12.75">
      <c r="A9" s="72" t="s">
        <v>42</v>
      </c>
      <c r="B9" s="73">
        <f>+'EST RESULT'!B9</f>
        <v>-4942</v>
      </c>
      <c r="C9" s="73">
        <f>+'EST RESULT'!C9</f>
        <v>-5775</v>
      </c>
      <c r="D9" s="73">
        <f>+'EST RESULT'!D9</f>
        <v>-7167</v>
      </c>
      <c r="E9" s="73">
        <f>+'EST RESULT'!E9</f>
        <v>-8031</v>
      </c>
      <c r="F9" s="20"/>
    </row>
    <row r="10" spans="1:6" ht="12.75">
      <c r="A10" s="72" t="s">
        <v>41</v>
      </c>
      <c r="B10" s="73">
        <f>+'EST RESULT'!B10</f>
        <v>-768</v>
      </c>
      <c r="C10" s="73">
        <f>+'EST RESULT'!C10</f>
        <v>-746</v>
      </c>
      <c r="D10" s="73">
        <f>+'EST RESULT'!D10</f>
        <v>-841</v>
      </c>
      <c r="E10" s="73">
        <f>+'EST RESULT'!E10</f>
        <v>-763</v>
      </c>
      <c r="F10" s="20"/>
    </row>
    <row r="11" spans="1:6" ht="12.75">
      <c r="A11" s="72" t="s">
        <v>40</v>
      </c>
      <c r="B11" s="73">
        <f>+'EST RESULT'!B11</f>
        <v>698</v>
      </c>
      <c r="C11" s="73">
        <f>+'EST RESULT'!C11</f>
        <v>-23</v>
      </c>
      <c r="D11" s="73">
        <f>+'EST RESULT'!D11</f>
        <v>10</v>
      </c>
      <c r="E11" s="73">
        <f>+'EST RESULT'!E11</f>
        <v>193</v>
      </c>
      <c r="F11" s="20"/>
    </row>
    <row r="12" spans="1:6" ht="12.75">
      <c r="A12" s="72" t="s">
        <v>69</v>
      </c>
      <c r="B12" s="73">
        <f>+'EST RESULT'!B20</f>
        <v>240</v>
      </c>
      <c r="C12" s="73">
        <f>+'EST RESULT'!C20</f>
        <v>345</v>
      </c>
      <c r="D12" s="73">
        <f>+'EST RESULT'!D20</f>
        <v>328</v>
      </c>
      <c r="E12" s="73">
        <f>+'EST RESULT'!E20</f>
        <v>289</v>
      </c>
      <c r="F12" s="20"/>
    </row>
    <row r="13" spans="1:6" ht="12.75">
      <c r="A13" s="72" t="s">
        <v>68</v>
      </c>
      <c r="B13" s="73">
        <f>+'EST RESULT'!B21</f>
        <v>-286</v>
      </c>
      <c r="C13" s="73">
        <f>+'EST RESULT'!C21</f>
        <v>-245</v>
      </c>
      <c r="D13" s="73">
        <f>+'EST RESULT'!D21</f>
        <v>-304</v>
      </c>
      <c r="E13" s="73">
        <f>+'EST RESULT'!E21</f>
        <v>-331</v>
      </c>
      <c r="F13" s="20"/>
    </row>
    <row r="14" spans="1:6" ht="12.75">
      <c r="A14" s="72" t="s">
        <v>67</v>
      </c>
      <c r="B14" s="73">
        <f>SUM(B8:B13)</f>
        <v>4517</v>
      </c>
      <c r="C14" s="73">
        <f>SUM(C8:C13)</f>
        <v>2469</v>
      </c>
      <c r="D14" s="73">
        <f>SUM(D8:D13)</f>
        <v>2067</v>
      </c>
      <c r="E14" s="73">
        <f>SUM(E8:E13)</f>
        <v>4907</v>
      </c>
      <c r="F14" s="20"/>
    </row>
    <row r="15" spans="1:6" ht="12.75">
      <c r="A15" s="72" t="s">
        <v>66</v>
      </c>
      <c r="B15" s="73">
        <f>-B30</f>
        <v>-1312.87</v>
      </c>
      <c r="C15" s="73">
        <f>-C30</f>
        <v>-836.15</v>
      </c>
      <c r="D15" s="73">
        <f>-D30</f>
        <v>-944.55</v>
      </c>
      <c r="E15" s="73">
        <f>-E30</f>
        <v>-1267.75</v>
      </c>
      <c r="F15" s="20"/>
    </row>
    <row r="16" spans="1:6" ht="12.75">
      <c r="A16" s="80" t="s">
        <v>65</v>
      </c>
      <c r="B16" s="81">
        <f>+B14+B15</f>
        <v>3204.13</v>
      </c>
      <c r="C16" s="81">
        <f>+C14+C15</f>
        <v>1632.85</v>
      </c>
      <c r="D16" s="81">
        <f>+D14+D15</f>
        <v>1122.45</v>
      </c>
      <c r="E16" s="81">
        <f>+E14+E15</f>
        <v>3639.25</v>
      </c>
      <c r="F16" s="22"/>
    </row>
    <row r="17" spans="1:6" ht="12.75">
      <c r="A17" s="72" t="s">
        <v>64</v>
      </c>
      <c r="B17" s="73">
        <f>+'EST RESULT'!B22</f>
        <v>-39</v>
      </c>
      <c r="C17" s="73">
        <f>+'EST RESULT'!C22</f>
        <v>-55</v>
      </c>
      <c r="D17" s="73">
        <f>+'EST RESULT'!D22</f>
        <v>-135</v>
      </c>
      <c r="E17" s="73">
        <f>+'EST RESULT'!E22</f>
        <v>-285</v>
      </c>
      <c r="F17" s="20"/>
    </row>
    <row r="18" spans="1:6" ht="12.75">
      <c r="A18" s="72" t="s">
        <v>63</v>
      </c>
      <c r="B18" s="73">
        <f>+B28</f>
        <v>12.870000000000001</v>
      </c>
      <c r="C18" s="73">
        <f>+C28</f>
        <v>18.150000000000002</v>
      </c>
      <c r="D18" s="73">
        <f>+D28</f>
        <v>44.550000000000004</v>
      </c>
      <c r="E18" s="73">
        <f>+E28</f>
        <v>99.75</v>
      </c>
      <c r="F18" s="20"/>
    </row>
    <row r="19" spans="1:6" ht="12.75">
      <c r="A19" s="72" t="s">
        <v>62</v>
      </c>
      <c r="B19" s="73">
        <f>+B17+B18</f>
        <v>-26.13</v>
      </c>
      <c r="C19" s="73">
        <f>+C17+C18</f>
        <v>-36.849999999999994</v>
      </c>
      <c r="D19" s="73">
        <f>+D17+D18</f>
        <v>-90.44999999999999</v>
      </c>
      <c r="E19" s="73">
        <f>+E17+E18</f>
        <v>-185.25</v>
      </c>
      <c r="F19" s="20"/>
    </row>
    <row r="20" spans="1:6" ht="12.75">
      <c r="A20" s="94" t="s">
        <v>61</v>
      </c>
      <c r="B20" s="82">
        <f>+B16+B19</f>
        <v>3178</v>
      </c>
      <c r="C20" s="82">
        <f>+C16+C19</f>
        <v>1596</v>
      </c>
      <c r="D20" s="82">
        <f>+D16+D19</f>
        <v>1032</v>
      </c>
      <c r="E20" s="82">
        <f>+E16+E19</f>
        <v>3454</v>
      </c>
      <c r="F20" s="23"/>
    </row>
    <row r="21" spans="1:6" ht="12.75">
      <c r="A21" s="72" t="s">
        <v>39</v>
      </c>
      <c r="B21" s="73">
        <f>+'EST RESULT'!B12</f>
        <v>-38</v>
      </c>
      <c r="C21" s="73">
        <f>+'EST RESULT'!C12</f>
        <v>240</v>
      </c>
      <c r="D21" s="73">
        <f>+'EST RESULT'!D12</f>
        <v>732</v>
      </c>
      <c r="E21" s="73">
        <f>+'EST RESULT'!E12</f>
        <v>-835</v>
      </c>
      <c r="F21" s="20"/>
    </row>
    <row r="22" spans="1:6" ht="12.75">
      <c r="A22" s="153" t="s">
        <v>285</v>
      </c>
      <c r="B22" s="154">
        <f>+B21</f>
        <v>-38</v>
      </c>
      <c r="C22" s="154">
        <f>+C21</f>
        <v>240</v>
      </c>
      <c r="D22" s="154">
        <f>+D21</f>
        <v>732</v>
      </c>
      <c r="E22" s="154">
        <f>+E21</f>
        <v>-835</v>
      </c>
      <c r="F22" s="154"/>
    </row>
    <row r="23" spans="1:6" ht="12.75">
      <c r="A23" s="153" t="s">
        <v>286</v>
      </c>
      <c r="B23" s="154">
        <f>+B20+B22</f>
        <v>3140</v>
      </c>
      <c r="C23" s="154">
        <f>+C20+C22</f>
        <v>1836</v>
      </c>
      <c r="D23" s="154">
        <f>+D20+D22</f>
        <v>1764</v>
      </c>
      <c r="E23" s="154">
        <f>+E20+E22</f>
        <v>2619</v>
      </c>
      <c r="F23" s="154"/>
    </row>
    <row r="24" spans="1:6" ht="12.75">
      <c r="A24" s="96"/>
      <c r="B24" s="88"/>
      <c r="C24" s="88"/>
      <c r="D24" s="88"/>
      <c r="E24" s="88"/>
      <c r="F24" s="24"/>
    </row>
    <row r="25" spans="1:6" ht="12.75">
      <c r="A25" s="97" t="s">
        <v>60</v>
      </c>
      <c r="B25" s="69"/>
      <c r="C25" s="69"/>
      <c r="D25" s="69"/>
      <c r="E25" s="69"/>
      <c r="F25" s="17"/>
    </row>
    <row r="26" spans="1:6" ht="12.75">
      <c r="A26" s="98"/>
      <c r="B26" s="71">
        <v>1996</v>
      </c>
      <c r="C26" s="71">
        <v>1997</v>
      </c>
      <c r="D26" s="71">
        <v>1998</v>
      </c>
      <c r="E26" s="71">
        <v>1999</v>
      </c>
      <c r="F26" s="18">
        <v>2000</v>
      </c>
    </row>
    <row r="27" spans="1:6" ht="12.75">
      <c r="A27" s="72" t="s">
        <v>59</v>
      </c>
      <c r="B27" s="99">
        <v>0.33</v>
      </c>
      <c r="C27" s="99">
        <f>+B27</f>
        <v>0.33</v>
      </c>
      <c r="D27" s="99">
        <v>0.33</v>
      </c>
      <c r="E27" s="99">
        <v>0.35</v>
      </c>
      <c r="F27" s="28"/>
    </row>
    <row r="28" spans="1:6" ht="12.75">
      <c r="A28" s="72" t="s">
        <v>58</v>
      </c>
      <c r="B28" s="100">
        <f>-'EST RESULT'!B22*'EST RES REORD'!B27</f>
        <v>12.870000000000001</v>
      </c>
      <c r="C28" s="100">
        <f>-'EST RESULT'!C22*'EST RES REORD'!C27</f>
        <v>18.150000000000002</v>
      </c>
      <c r="D28" s="100">
        <f>-'EST RESULT'!D22*'EST RES REORD'!D27</f>
        <v>44.550000000000004</v>
      </c>
      <c r="E28" s="100">
        <f>-'EST RESULT'!E22*'EST RES REORD'!E27</f>
        <v>99.75</v>
      </c>
      <c r="F28" s="29"/>
    </row>
    <row r="29" spans="1:6" ht="12.75">
      <c r="A29" s="72" t="s">
        <v>57</v>
      </c>
      <c r="B29" s="100">
        <f>-'EST RESULT'!B15</f>
        <v>1300</v>
      </c>
      <c r="C29" s="100">
        <f>-'EST RESULT'!C15</f>
        <v>818</v>
      </c>
      <c r="D29" s="100">
        <f>-'EST RESULT'!D15</f>
        <v>900</v>
      </c>
      <c r="E29" s="100">
        <f>-'EST RESULT'!E15</f>
        <v>1168</v>
      </c>
      <c r="F29" s="29"/>
    </row>
    <row r="30" spans="1:6" ht="12.75">
      <c r="A30" s="75" t="s">
        <v>56</v>
      </c>
      <c r="B30" s="101">
        <f>+B29+B28</f>
        <v>1312.87</v>
      </c>
      <c r="C30" s="101">
        <f>+C29+C28</f>
        <v>836.15</v>
      </c>
      <c r="D30" s="101">
        <f>+D29+D28</f>
        <v>944.55</v>
      </c>
      <c r="E30" s="101">
        <f>+E29+E28</f>
        <v>1267.75</v>
      </c>
      <c r="F30" s="30"/>
    </row>
  </sheetData>
  <sheetProtection sheet="1" objects="1" scenarios="1"/>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11.421875" defaultRowHeight="12.75"/>
  <cols>
    <col min="1" max="1" width="30.7109375" style="16" customWidth="1"/>
    <col min="2" max="6" width="8.7109375" style="16" customWidth="1"/>
    <col min="7" max="16384" width="11.421875" style="16" customWidth="1"/>
  </cols>
  <sheetData>
    <row r="1" spans="1:6" ht="12.75">
      <c r="A1" s="152" t="str">
        <f>+VENTAS!A1</f>
        <v>AFIC - Ejercicio de Aplicación 2</v>
      </c>
      <c r="B1" s="42"/>
      <c r="C1" s="42"/>
      <c r="D1" s="42"/>
      <c r="E1" s="42"/>
      <c r="F1" s="42"/>
    </row>
    <row r="2" spans="1:6" ht="12.75">
      <c r="A2" s="152" t="str">
        <f>+VENTAS!A2</f>
        <v>BODEGAS ESMERALDA</v>
      </c>
      <c r="B2" s="42"/>
      <c r="C2" s="42"/>
      <c r="D2" s="42"/>
      <c r="E2" s="42"/>
      <c r="F2" s="42"/>
    </row>
    <row r="3" spans="1:6" ht="12.75">
      <c r="A3" s="42"/>
      <c r="B3" s="42"/>
      <c r="C3" s="42"/>
      <c r="D3" s="42"/>
      <c r="E3" s="42"/>
      <c r="F3" s="42"/>
    </row>
    <row r="4" spans="1:6" ht="12.75">
      <c r="A4" s="68" t="s">
        <v>79</v>
      </c>
      <c r="B4" s="69"/>
      <c r="C4" s="69"/>
      <c r="D4" s="69"/>
      <c r="E4" s="69"/>
      <c r="F4" s="69"/>
    </row>
    <row r="5" spans="1:6" ht="12.75">
      <c r="A5" s="68" t="s">
        <v>78</v>
      </c>
      <c r="B5" s="69"/>
      <c r="C5" s="69"/>
      <c r="D5" s="69"/>
      <c r="E5" s="69"/>
      <c r="F5" s="69"/>
    </row>
    <row r="6" spans="1:6" ht="12.75">
      <c r="A6" s="89"/>
      <c r="B6" s="71">
        <v>1996</v>
      </c>
      <c r="C6" s="71">
        <v>1997</v>
      </c>
      <c r="D6" s="71">
        <v>1998</v>
      </c>
      <c r="E6" s="71">
        <v>1999</v>
      </c>
      <c r="F6" s="79">
        <v>2000</v>
      </c>
    </row>
    <row r="7" spans="1:6" ht="12.75">
      <c r="A7" s="72" t="s">
        <v>77</v>
      </c>
      <c r="B7" s="102">
        <f>+'EST PATR REORD'!B10</f>
        <v>9623</v>
      </c>
      <c r="C7" s="102">
        <f>+'EST PATR REORD'!C10</f>
        <v>9152</v>
      </c>
      <c r="D7" s="102">
        <f>+'EST PATR REORD'!D10</f>
        <v>12827</v>
      </c>
      <c r="E7" s="102">
        <f>+'EST PATR REORD'!E10</f>
        <v>15433</v>
      </c>
      <c r="F7" s="102">
        <f>+'EST PATR REORD'!F10</f>
        <v>20351</v>
      </c>
    </row>
    <row r="8" spans="1:6" ht="12.75">
      <c r="A8" s="72" t="s">
        <v>76</v>
      </c>
      <c r="B8" s="100">
        <f>+'EST PATR REORD'!B14</f>
        <v>4756</v>
      </c>
      <c r="C8" s="100">
        <f>+'EST PATR REORD'!C14</f>
        <v>6225</v>
      </c>
      <c r="D8" s="100">
        <f>+'EST PATR REORD'!D14</f>
        <v>8154</v>
      </c>
      <c r="E8" s="100">
        <f>+'EST PATR REORD'!E14</f>
        <v>10949</v>
      </c>
      <c r="F8" s="100">
        <f>+'EST PATR REORD'!F14</f>
        <v>15742</v>
      </c>
    </row>
    <row r="9" spans="1:6" ht="12.75">
      <c r="A9" s="72" t="s">
        <v>51</v>
      </c>
      <c r="B9" s="100">
        <f>+'EST PATR REORD'!B20</f>
        <v>5584</v>
      </c>
      <c r="C9" s="100">
        <f>+'EST PATR REORD'!C20</f>
        <v>4746</v>
      </c>
      <c r="D9" s="100">
        <f>+'EST PATR REORD'!D20</f>
        <v>6919</v>
      </c>
      <c r="E9" s="100">
        <f>+'EST PATR REORD'!E20</f>
        <v>7598</v>
      </c>
      <c r="F9" s="100">
        <f>+'EST PATR REORD'!F20</f>
        <v>9462</v>
      </c>
    </row>
    <row r="10" spans="1:6" ht="12.75">
      <c r="A10" s="75" t="s">
        <v>75</v>
      </c>
      <c r="B10" s="101">
        <f>+'EST PATR REORD'!B22</f>
        <v>0</v>
      </c>
      <c r="C10" s="101">
        <f>+'EST PATR REORD'!C22</f>
        <v>0</v>
      </c>
      <c r="D10" s="101">
        <f>+'EST PATR REORD'!D22</f>
        <v>0</v>
      </c>
      <c r="E10" s="101">
        <f>+'EST PATR REORD'!E22</f>
        <v>0</v>
      </c>
      <c r="F10" s="101">
        <f>+'EST PATR REORD'!F22</f>
        <v>1078</v>
      </c>
    </row>
    <row r="11" spans="1:6" ht="12.75">
      <c r="A11" s="72" t="s">
        <v>74</v>
      </c>
      <c r="B11" s="100">
        <f>+B7+B8-B9-B10</f>
        <v>8795</v>
      </c>
      <c r="C11" s="100">
        <f>+C7+C8-C9-C10</f>
        <v>10631</v>
      </c>
      <c r="D11" s="100">
        <f>+D7+D8-D9-D10</f>
        <v>14062</v>
      </c>
      <c r="E11" s="100">
        <f>+E7+E8-E9-E10</f>
        <v>18784</v>
      </c>
      <c r="F11" s="100">
        <f>+F7+F8-F9-F10</f>
        <v>25553</v>
      </c>
    </row>
    <row r="12" spans="1:6" ht="12.75">
      <c r="A12" s="72" t="s">
        <v>73</v>
      </c>
      <c r="B12" s="100">
        <f>+'EST PATR REORD'!B25</f>
        <v>0</v>
      </c>
      <c r="C12" s="100">
        <f>+'EST PATR REORD'!C25</f>
        <v>0</v>
      </c>
      <c r="D12" s="100">
        <f>+'EST PATR REORD'!D25</f>
        <v>1667</v>
      </c>
      <c r="E12" s="100">
        <f>+'EST PATR REORD'!E25</f>
        <v>3770</v>
      </c>
      <c r="F12" s="100">
        <f>+'EST PATR REORD'!F25</f>
        <v>6598</v>
      </c>
    </row>
    <row r="13" spans="1:6" ht="12.75">
      <c r="A13" s="75" t="s">
        <v>72</v>
      </c>
      <c r="B13" s="101">
        <f>+'EST PATR REORD'!B27</f>
        <v>8795</v>
      </c>
      <c r="C13" s="101">
        <f>+'EST PATR REORD'!C27</f>
        <v>10631</v>
      </c>
      <c r="D13" s="101">
        <f>+'EST PATR REORD'!D27</f>
        <v>12395</v>
      </c>
      <c r="E13" s="101">
        <f>+'EST PATR REORD'!E27</f>
        <v>15014</v>
      </c>
      <c r="F13" s="101">
        <f>+'EST PATR REORD'!F27</f>
        <v>18955</v>
      </c>
    </row>
    <row r="14" spans="1:6" ht="12.75">
      <c r="A14" s="69"/>
      <c r="B14" s="69"/>
      <c r="C14" s="69"/>
      <c r="D14" s="69"/>
      <c r="E14" s="69"/>
      <c r="F14" s="69"/>
    </row>
    <row r="15" spans="1:6" ht="12.75">
      <c r="A15" s="68" t="s">
        <v>46</v>
      </c>
      <c r="B15" s="69"/>
      <c r="C15" s="69"/>
      <c r="D15" s="69"/>
      <c r="E15" s="69"/>
      <c r="F15" s="69"/>
    </row>
    <row r="16" spans="1:6" ht="12.75">
      <c r="A16" s="89"/>
      <c r="B16" s="71">
        <v>1996</v>
      </c>
      <c r="C16" s="71">
        <v>1997</v>
      </c>
      <c r="D16" s="71">
        <v>1998</v>
      </c>
      <c r="E16" s="71">
        <v>1999</v>
      </c>
      <c r="F16" s="79">
        <v>2000</v>
      </c>
    </row>
    <row r="17" spans="1:6" ht="12.75">
      <c r="A17" s="72" t="s">
        <v>45</v>
      </c>
      <c r="B17" s="73">
        <f>+'EST RES REORD'!B6</f>
        <v>17469</v>
      </c>
      <c r="C17" s="73">
        <f>+'EST RES REORD'!C6</f>
        <v>19689</v>
      </c>
      <c r="D17" s="73">
        <f>+'EST RES REORD'!D6</f>
        <v>23421</v>
      </c>
      <c r="E17" s="73">
        <f>+'EST RES REORD'!E6</f>
        <v>28444</v>
      </c>
      <c r="F17" s="73">
        <v>33504</v>
      </c>
    </row>
    <row r="18" spans="1:6" ht="12.75">
      <c r="A18" s="72" t="s">
        <v>70</v>
      </c>
      <c r="B18" s="73">
        <f>+'EST RES REORD'!B8</f>
        <v>9575</v>
      </c>
      <c r="C18" s="73">
        <f>+'EST RES REORD'!C8</f>
        <v>8913</v>
      </c>
      <c r="D18" s="73">
        <f>+'EST RES REORD'!D8</f>
        <v>10041</v>
      </c>
      <c r="E18" s="73">
        <f>+'EST RES REORD'!E8</f>
        <v>13550</v>
      </c>
      <c r="F18" s="73">
        <v>15702</v>
      </c>
    </row>
    <row r="19" spans="1:6" ht="12.75">
      <c r="A19" s="72" t="s">
        <v>65</v>
      </c>
      <c r="B19" s="73">
        <f>+'EST RES REORD'!B16</f>
        <v>3204.13</v>
      </c>
      <c r="C19" s="73">
        <f>+'EST RES REORD'!C16</f>
        <v>1632.85</v>
      </c>
      <c r="D19" s="73">
        <f>+'EST RES REORD'!D16</f>
        <v>1122.45</v>
      </c>
      <c r="E19" s="73">
        <f>+'EST RES REORD'!E16</f>
        <v>3639.25</v>
      </c>
      <c r="F19" s="73">
        <v>4399</v>
      </c>
    </row>
    <row r="20" spans="1:6" ht="12.75">
      <c r="A20" s="72" t="s">
        <v>62</v>
      </c>
      <c r="B20" s="73">
        <f>+'EST RES REORD'!B19</f>
        <v>-26.13</v>
      </c>
      <c r="C20" s="73">
        <f>+'EST RES REORD'!C19</f>
        <v>-36.849999999999994</v>
      </c>
      <c r="D20" s="73">
        <f>+'EST RES REORD'!D19</f>
        <v>-90.44999999999999</v>
      </c>
      <c r="E20" s="73">
        <f>+'EST RES REORD'!E19</f>
        <v>-185.25</v>
      </c>
      <c r="F20" s="73">
        <v>-374</v>
      </c>
    </row>
    <row r="21" spans="1:6" ht="12.75">
      <c r="A21" s="72" t="s">
        <v>61</v>
      </c>
      <c r="B21" s="73">
        <f>+'EST RES REORD'!B20</f>
        <v>3178</v>
      </c>
      <c r="C21" s="73">
        <f>+'EST RES REORD'!C20</f>
        <v>1596</v>
      </c>
      <c r="D21" s="73">
        <f>+'EST RES REORD'!D20</f>
        <v>1032</v>
      </c>
      <c r="E21" s="73">
        <f>+'EST RES REORD'!E20</f>
        <v>3454</v>
      </c>
      <c r="F21" s="73">
        <v>4025</v>
      </c>
    </row>
    <row r="22" spans="1:6" ht="12.75">
      <c r="A22" s="155" t="s">
        <v>285</v>
      </c>
      <c r="B22" s="156">
        <f>+'EST RES REORD'!B22</f>
        <v>-38</v>
      </c>
      <c r="C22" s="156">
        <f>+'EST RES REORD'!C22</f>
        <v>240</v>
      </c>
      <c r="D22" s="156">
        <f>+'EST RES REORD'!D22</f>
        <v>732</v>
      </c>
      <c r="E22" s="156">
        <f>+'EST RES REORD'!E22</f>
        <v>-835</v>
      </c>
      <c r="F22" s="156">
        <v>-84</v>
      </c>
    </row>
    <row r="23" ht="12.75">
      <c r="F23" s="157"/>
    </row>
  </sheetData>
  <sheetProtection sheet="1" objects="1" scenarios="1"/>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B18"/>
  <sheetViews>
    <sheetView workbookViewId="0" topLeftCell="A1">
      <selection activeCell="A1" sqref="A1"/>
    </sheetView>
  </sheetViews>
  <sheetFormatPr defaultColWidth="11.421875" defaultRowHeight="12.75"/>
  <cols>
    <col min="1" max="1" width="9.7109375" style="42" customWidth="1"/>
    <col min="2" max="2" width="65.7109375" style="42" customWidth="1"/>
    <col min="3" max="16384" width="11.421875" style="42" customWidth="1"/>
  </cols>
  <sheetData>
    <row r="1" ht="12.75">
      <c r="A1" s="152" t="str">
        <f>+VENTAS!A1</f>
        <v>AFIC - Ejercicio de Aplicación 2</v>
      </c>
    </row>
    <row r="2" ht="12.75">
      <c r="A2" s="152" t="str">
        <f>+VENTAS!A2</f>
        <v>BODEGAS ESMERALDA</v>
      </c>
    </row>
    <row r="3" ht="12.75">
      <c r="B3" s="151" t="s">
        <v>276</v>
      </c>
    </row>
    <row r="4" ht="25.5">
      <c r="B4" s="43" t="s">
        <v>254</v>
      </c>
    </row>
    <row r="5" ht="13.5" thickBot="1"/>
    <row r="6" spans="1:2" ht="24.75" thickBot="1">
      <c r="A6" s="44" t="s">
        <v>253</v>
      </c>
      <c r="B6" s="14"/>
    </row>
    <row r="7" spans="1:2" ht="12.75">
      <c r="A7" s="45"/>
      <c r="B7" s="46"/>
    </row>
    <row r="8" ht="38.25">
      <c r="B8" s="43" t="s">
        <v>255</v>
      </c>
    </row>
    <row r="9" ht="13.5" thickBot="1"/>
    <row r="10" spans="1:2" ht="24.75" thickBot="1">
      <c r="A10" s="44" t="s">
        <v>253</v>
      </c>
      <c r="B10" s="14"/>
    </row>
    <row r="12" ht="25.5">
      <c r="B12" s="43" t="s">
        <v>257</v>
      </c>
    </row>
    <row r="13" ht="13.5" thickBot="1"/>
    <row r="14" spans="1:2" ht="24.75" thickBot="1">
      <c r="A14" s="44" t="s">
        <v>253</v>
      </c>
      <c r="B14" s="14"/>
    </row>
    <row r="16" ht="51">
      <c r="B16" s="43" t="s">
        <v>256</v>
      </c>
    </row>
    <row r="17" ht="13.5" thickBot="1"/>
    <row r="18" spans="1:2" ht="24.75" thickBot="1">
      <c r="A18" s="44" t="s">
        <v>253</v>
      </c>
      <c r="B18" s="14"/>
    </row>
  </sheetData>
  <sheetProtection sheet="1" objects="1" scenarios="1"/>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11.421875" defaultRowHeight="12.75"/>
  <cols>
    <col min="1" max="1" width="25.7109375" style="16" customWidth="1"/>
    <col min="2" max="6" width="8.7109375" style="16" customWidth="1"/>
    <col min="7" max="16384" width="11.421875" style="16" customWidth="1"/>
  </cols>
  <sheetData>
    <row r="1" spans="1:6" ht="12.75">
      <c r="A1" s="152" t="str">
        <f>+VENTAS!A1</f>
        <v>AFIC - Ejercicio de Aplicación 2</v>
      </c>
      <c r="B1" s="42"/>
      <c r="C1" s="42"/>
      <c r="D1" s="42"/>
      <c r="E1" s="42"/>
      <c r="F1" s="42"/>
    </row>
    <row r="2" spans="1:6" ht="12.75">
      <c r="A2" s="152" t="str">
        <f>+VENTAS!A2</f>
        <v>BODEGAS ESMERALDA</v>
      </c>
      <c r="B2" s="42"/>
      <c r="C2" s="42"/>
      <c r="D2" s="42"/>
      <c r="E2" s="42"/>
      <c r="F2" s="42"/>
    </row>
    <row r="3" spans="1:6" ht="12.75">
      <c r="A3" s="42"/>
      <c r="B3" s="42"/>
      <c r="C3" s="42"/>
      <c r="D3" s="42"/>
      <c r="E3" s="42"/>
      <c r="F3" s="42"/>
    </row>
    <row r="4" spans="1:6" ht="12.75">
      <c r="A4" s="68" t="s">
        <v>120</v>
      </c>
      <c r="B4" s="69"/>
      <c r="C4" s="69"/>
      <c r="D4" s="69"/>
      <c r="E4" s="69"/>
      <c r="F4" s="69"/>
    </row>
    <row r="5" spans="1:6" ht="12.75">
      <c r="A5" s="89"/>
      <c r="B5" s="71">
        <v>1996</v>
      </c>
      <c r="C5" s="71">
        <v>1997</v>
      </c>
      <c r="D5" s="71">
        <v>1998</v>
      </c>
      <c r="E5" s="71">
        <v>1999</v>
      </c>
      <c r="F5" s="79">
        <v>2000</v>
      </c>
    </row>
    <row r="6" spans="1:6" ht="12.75">
      <c r="A6" s="72" t="s">
        <v>29</v>
      </c>
      <c r="B6" s="103">
        <f>+'EST PATR REORD'!B7/'EST PATR REORD'!B15</f>
        <v>0.39098685583142084</v>
      </c>
      <c r="C6" s="103">
        <f>+'EST PATR REORD'!C7/'EST PATR REORD'!C15</f>
        <v>0.3252910190544319</v>
      </c>
      <c r="D6" s="103">
        <f>+'EST PATR REORD'!D7/'EST PATR REORD'!D15</f>
        <v>0.3348744101806396</v>
      </c>
      <c r="E6" s="103">
        <f>+'EST PATR REORD'!E7/'EST PATR REORD'!E15</f>
        <v>0.29144871503297703</v>
      </c>
      <c r="F6" s="103">
        <f>+'EST PATR REORD'!F7/'EST PATR REORD'!F15</f>
        <v>0.2991992907211925</v>
      </c>
    </row>
    <row r="7" spans="1:6" ht="12.75">
      <c r="A7" s="72" t="s">
        <v>27</v>
      </c>
      <c r="B7" s="103">
        <f>+'EST PATR REORD'!B9/'EST PATR REORD'!B15</f>
        <v>0.10515334863342374</v>
      </c>
      <c r="C7" s="103">
        <f>+'EST PATR REORD'!C9/'EST PATR REORD'!C15</f>
        <v>0.13708785848995253</v>
      </c>
      <c r="D7" s="103">
        <f>+'EST PATR REORD'!D9/'EST PATR REORD'!D15</f>
        <v>0.1545207568752681</v>
      </c>
      <c r="E7" s="103">
        <f>+'EST PATR REORD'!E9/'EST PATR REORD'!E15</f>
        <v>0.18334470472291714</v>
      </c>
      <c r="F7" s="103">
        <f>+'EST PATR REORD'!F9/'EST PATR REORD'!F15</f>
        <v>0.18396919070179812</v>
      </c>
    </row>
    <row r="8" spans="1:6" ht="12.75">
      <c r="A8" s="72" t="s">
        <v>23</v>
      </c>
      <c r="B8" s="103">
        <f>SUM('EST PATR REORD'!B6+'EST PATR REORD'!B8)/'EST PATR REORD'!B15</f>
        <v>0.17309965922525905</v>
      </c>
      <c r="C8" s="103">
        <f>SUM('EST PATR REORD'!C6+'EST PATR REORD'!C8)/'EST PATR REORD'!C15</f>
        <v>0.1327957338882747</v>
      </c>
      <c r="D8" s="103">
        <f>SUM('EST PATR REORD'!D6+'EST PATR REORD'!D8)/'EST PATR REORD'!D15</f>
        <v>0.12196749439969497</v>
      </c>
      <c r="E8" s="103">
        <f>SUM('EST PATR REORD'!E6+'EST PATR REORD'!E8)/'EST PATR REORD'!E15</f>
        <v>0.1101887650670912</v>
      </c>
      <c r="F8" s="103">
        <f>SUM('EST PATR REORD'!F6+'EST PATR REORD'!F8)/'EST PATR REORD'!F15</f>
        <v>0.0806804643559693</v>
      </c>
    </row>
    <row r="9" spans="1:6" ht="12.75">
      <c r="A9" s="80" t="s">
        <v>77</v>
      </c>
      <c r="B9" s="103">
        <f>+'EST PATR REORD'!B10/'EST PATR REORD'!B15</f>
        <v>0.6692398636901036</v>
      </c>
      <c r="C9" s="103">
        <f>+'EST PATR REORD'!C10/'EST PATR REORD'!C15</f>
        <v>0.5951746114326592</v>
      </c>
      <c r="D9" s="103">
        <f>+'EST PATR REORD'!D10/'EST PATR REORD'!D15</f>
        <v>0.6113626614556027</v>
      </c>
      <c r="E9" s="103">
        <f>+'EST PATR REORD'!E10/'EST PATR REORD'!E15</f>
        <v>0.5849821848229854</v>
      </c>
      <c r="F9" s="103">
        <f>+'EST PATR REORD'!F10/'EST PATR REORD'!F15</f>
        <v>0.5638489457789599</v>
      </c>
    </row>
    <row r="10" spans="1:6" ht="12.75">
      <c r="A10" s="72" t="s">
        <v>25</v>
      </c>
      <c r="B10" s="103">
        <f>+'EST PATR REORD'!B11/'EST PATR REORD'!B15</f>
        <v>0.2633701926420474</v>
      </c>
      <c r="C10" s="103">
        <f>+'EST PATR REORD'!C11/'EST PATR REORD'!C15</f>
        <v>0.3164466410873382</v>
      </c>
      <c r="D10" s="103">
        <f>+'EST PATR REORD'!D11/'EST PATR REORD'!D15</f>
        <v>0.3253419760735904</v>
      </c>
      <c r="E10" s="103">
        <f>+'EST PATR REORD'!E11/'EST PATR REORD'!E15</f>
        <v>0.3568342051398681</v>
      </c>
      <c r="F10" s="103">
        <f>+'EST PATR REORD'!F11/'EST PATR REORD'!F15</f>
        <v>0.3296207020751946</v>
      </c>
    </row>
    <row r="11" spans="1:6" ht="12.75">
      <c r="A11" s="72" t="s">
        <v>23</v>
      </c>
      <c r="B11" s="103">
        <f>SUM('EST PATR REORD'!B12:B13)/'EST PATR REORD'!B15</f>
        <v>0.06738994366784895</v>
      </c>
      <c r="C11" s="103">
        <f>SUM('EST PATR REORD'!C12:C13)/'EST PATR REORD'!C15</f>
        <v>0.0883787474800026</v>
      </c>
      <c r="D11" s="103">
        <f>SUM('EST PATR REORD'!D12:D13)/'EST PATR REORD'!D15</f>
        <v>0.06329536247080692</v>
      </c>
      <c r="E11" s="103">
        <f>SUM('EST PATR REORD'!E12:E13)/'EST PATR REORD'!E15</f>
        <v>0.05818361003714654</v>
      </c>
      <c r="F11" s="103">
        <f>SUM('EST PATR REORD'!F12:F13)/'EST PATR REORD'!F15</f>
        <v>0.10653035214584546</v>
      </c>
    </row>
    <row r="12" spans="1:6" ht="12.75">
      <c r="A12" s="80" t="s">
        <v>76</v>
      </c>
      <c r="B12" s="104">
        <f>+'EST PATR REORD'!B14/'EST PATR REORD'!B15</f>
        <v>0.33076013630989637</v>
      </c>
      <c r="C12" s="104">
        <f>+'EST PATR REORD'!C14/'EST PATR REORD'!C15</f>
        <v>0.40482538856734085</v>
      </c>
      <c r="D12" s="104">
        <f>+'EST PATR REORD'!D14/'EST PATR REORD'!D15</f>
        <v>0.3886373385443973</v>
      </c>
      <c r="E12" s="104">
        <f>+'EST PATR REORD'!E14/'EST PATR REORD'!E15</f>
        <v>0.41501781517701464</v>
      </c>
      <c r="F12" s="104">
        <f>+'EST PATR REORD'!F14/'EST PATR REORD'!F15</f>
        <v>0.4361510542210401</v>
      </c>
    </row>
    <row r="13" spans="1:6" ht="12.75">
      <c r="A13" s="83" t="s">
        <v>116</v>
      </c>
      <c r="B13" s="105">
        <f>+B9+B12</f>
        <v>1</v>
      </c>
      <c r="C13" s="105">
        <f>+C9+C12</f>
        <v>1</v>
      </c>
      <c r="D13" s="105">
        <f>+D9+D12</f>
        <v>1</v>
      </c>
      <c r="E13" s="105">
        <f>+E9+E12</f>
        <v>1</v>
      </c>
      <c r="F13" s="105">
        <f>+F9+F12</f>
        <v>1</v>
      </c>
    </row>
    <row r="14" spans="1:6" ht="12.75">
      <c r="A14" s="72" t="s">
        <v>19</v>
      </c>
      <c r="B14" s="103">
        <f>+'EST PATR REORD'!B17/'EST PATR REORD'!B15</f>
        <v>0.269142499478406</v>
      </c>
      <c r="C14" s="103">
        <f>+'EST PATR REORD'!C17/'EST PATR REORD'!C15</f>
        <v>0.22988879495350198</v>
      </c>
      <c r="D14" s="103">
        <f>+'EST PATR REORD'!D17/'EST PATR REORD'!D15</f>
        <v>0.27296125065535487</v>
      </c>
      <c r="E14" s="103">
        <f>+'EST PATR REORD'!E17/'EST PATR REORD'!E15</f>
        <v>0.23133196876658327</v>
      </c>
      <c r="F14" s="103">
        <f>+'EST PATR REORD'!F17/'EST PATR REORD'!F15</f>
        <v>0.20990219710193112</v>
      </c>
    </row>
    <row r="15" spans="1:6" ht="12.75">
      <c r="A15" s="72" t="s">
        <v>118</v>
      </c>
      <c r="B15" s="103">
        <f>SUM('EST PATR REORD'!B18:B19,'EST PATR REORD'!B22)/'EST PATRIM'!B15</f>
        <v>0.11920161346407956</v>
      </c>
      <c r="C15" s="103">
        <f>SUM('EST PATR REORD'!C18:C19,'EST PATR REORD'!C22)/'EST PATRIM'!C15</f>
        <v>0.07875398322169475</v>
      </c>
      <c r="D15" s="103">
        <f>SUM('EST PATR REORD'!D18:D19,'EST PATR REORD'!D22)/'EST PATRIM'!D15</f>
        <v>0.05681330727801344</v>
      </c>
      <c r="E15" s="103">
        <f>SUM('EST PATR REORD'!E18:E19,'EST PATR REORD'!E22)/'EST PATRIM'!E15</f>
        <v>0.056667424759305585</v>
      </c>
      <c r="F15" s="103">
        <f>SUM('EST PATR REORD'!F18:F19,'EST PATR REORD'!F22)/'EST PATRIM'!F15</f>
        <v>0.08212118693375446</v>
      </c>
    </row>
    <row r="16" spans="1:6" ht="12.75">
      <c r="A16" s="80" t="s">
        <v>115</v>
      </c>
      <c r="B16" s="103">
        <f>+B14+B15</f>
        <v>0.3883441129424856</v>
      </c>
      <c r="C16" s="103">
        <f>+C14+C15</f>
        <v>0.3086427781751967</v>
      </c>
      <c r="D16" s="103">
        <f>+D14+D15</f>
        <v>0.3297745579333683</v>
      </c>
      <c r="E16" s="103">
        <f>+E14+E15</f>
        <v>0.2879993935258889</v>
      </c>
      <c r="F16" s="103">
        <f>+F14+F15</f>
        <v>0.29202338403568556</v>
      </c>
    </row>
    <row r="17" spans="1:6" ht="12.75">
      <c r="A17" s="80" t="s">
        <v>73</v>
      </c>
      <c r="B17" s="104">
        <f>+'EST PATR REORD'!B25/'EST PATR REORD'!B15</f>
        <v>0</v>
      </c>
      <c r="C17" s="104">
        <f>+'EST PATR REORD'!C25/'EST PATR REORD'!C15</f>
        <v>0</v>
      </c>
      <c r="D17" s="104">
        <f>+'EST PATR REORD'!D25/'EST PATR REORD'!D15</f>
        <v>0.07945283828225537</v>
      </c>
      <c r="E17" s="104">
        <f>+'EST PATR REORD'!E25/'EST PATR REORD'!E15</f>
        <v>0.14290046243650975</v>
      </c>
      <c r="F17" s="104">
        <f>+'EST PATR REORD'!F25/'EST PATR REORD'!F15</f>
        <v>0.18280553015820242</v>
      </c>
    </row>
    <row r="18" spans="1:6" ht="12.75">
      <c r="A18" s="80" t="s">
        <v>119</v>
      </c>
      <c r="B18" s="104">
        <f>+B16+B17</f>
        <v>0.3883441129424856</v>
      </c>
      <c r="C18" s="104">
        <f>+C16+C17</f>
        <v>0.3086427781751967</v>
      </c>
      <c r="D18" s="104">
        <f>+D16+D17</f>
        <v>0.40922739621562365</v>
      </c>
      <c r="E18" s="104">
        <f>+E16+E17</f>
        <v>0.43089985596239866</v>
      </c>
      <c r="F18" s="104">
        <f>+F16+F17</f>
        <v>0.47482891419388795</v>
      </c>
    </row>
    <row r="19" spans="1:6" ht="12.75">
      <c r="A19" s="86" t="s">
        <v>12</v>
      </c>
      <c r="B19" s="104">
        <f>+'EST PATR REORD'!B27/'EST PATR REORD'!B15</f>
        <v>0.6116558870575144</v>
      </c>
      <c r="C19" s="104">
        <f>+'EST PATR REORD'!C27/'EST PATR REORD'!C15</f>
        <v>0.6913572218248033</v>
      </c>
      <c r="D19" s="104">
        <f>+'EST PATR REORD'!D27/'EST PATR REORD'!D15</f>
        <v>0.5907726037843763</v>
      </c>
      <c r="E19" s="104">
        <f>+'EST PATR REORD'!E27/'EST PATR REORD'!E15</f>
        <v>0.5691001440376013</v>
      </c>
      <c r="F19" s="104">
        <f>+'EST PATR REORD'!F27/'EST PATR REORD'!F15</f>
        <v>0.5251710858061119</v>
      </c>
    </row>
  </sheetData>
  <sheetProtection sheet="1" objects="1" scenario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FORNERO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RICARDO</cp:lastModifiedBy>
  <dcterms:created xsi:type="dcterms:W3CDTF">2001-03-20T22:35:19Z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